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:\Shared drives\Operations\SOPs\Executive Assistant\Presentations\Series 3\"/>
    </mc:Choice>
  </mc:AlternateContent>
  <xr:revisionPtr revIDLastSave="0" documentId="8_{D82BC251-80C3-4AC1-8505-40AC01A69FB6}" xr6:coauthVersionLast="47" xr6:coauthVersionMax="47" xr10:uidLastSave="{00000000-0000-0000-0000-000000000000}"/>
  <bookViews>
    <workbookView xWindow="-120" yWindow="-120" windowWidth="38640" windowHeight="15720" xr2:uid="{D242698F-10A6-455B-8D9E-F8AC742F5AEF}"/>
  </bookViews>
  <sheets>
    <sheet name="Sources &amp; Uses Specified Offeri" sheetId="8" r:id="rId1"/>
    <sheet name="Fund of Funds Model " sheetId="7" r:id="rId2"/>
    <sheet name="Fund of Funds 2x2" sheetId="6" r:id="rId3"/>
  </sheets>
  <definedNames>
    <definedName name="_ftn1" localSheetId="0">'Sources &amp; Uses Specified Offeri'!#REF!</definedName>
    <definedName name="_ftn2" localSheetId="0">'Sources &amp; Uses Specified Offeri'!#REF!</definedName>
    <definedName name="_ftn3" localSheetId="0">'Sources &amp; Uses Specified Offeri'!#REF!</definedName>
    <definedName name="_ftnref" localSheetId="0">'Sources &amp; Uses Specified Offeri'!#REF!</definedName>
    <definedName name="solver_opt" localSheetId="1" hidden="1">'Fund of Funds Model '!#REF!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XIfO73DA++pM3+xfvy4dTbJfWrZ7IJUbKKQny4LeFpA="/>
    </ext>
  </extLst>
</workbook>
</file>

<file path=xl/calcChain.xml><?xml version="1.0" encoding="utf-8"?>
<calcChain xmlns="http://schemas.openxmlformats.org/spreadsheetml/2006/main">
  <c r="P82" i="7" l="1"/>
  <c r="I52" i="7"/>
  <c r="I46" i="7"/>
  <c r="G11" i="8" l="1"/>
  <c r="E14" i="7"/>
  <c r="H66" i="7" l="1"/>
  <c r="D70" i="7"/>
  <c r="I68" i="7"/>
  <c r="J68" i="7" s="1"/>
  <c r="K68" i="7" s="1"/>
  <c r="L68" i="7" s="1"/>
  <c r="M68" i="7" s="1"/>
  <c r="L26" i="7"/>
  <c r="L38" i="7" s="1"/>
  <c r="K26" i="7"/>
  <c r="K38" i="7" s="1"/>
  <c r="J26" i="7"/>
  <c r="J38" i="7" s="1"/>
  <c r="I26" i="7"/>
  <c r="I38" i="7" s="1"/>
  <c r="H26" i="7"/>
  <c r="H35" i="7" s="1"/>
  <c r="L6" i="7"/>
  <c r="L21" i="7" s="1"/>
  <c r="L42" i="7" s="1"/>
  <c r="K6" i="7"/>
  <c r="K21" i="7" s="1"/>
  <c r="K42" i="7" s="1"/>
  <c r="J6" i="7"/>
  <c r="J21" i="7" s="1"/>
  <c r="J42" i="7" s="1"/>
  <c r="I6" i="7"/>
  <c r="I21" i="7" s="1"/>
  <c r="I42" i="7" s="1"/>
  <c r="L17" i="7" l="1"/>
  <c r="E12" i="7" l="1"/>
  <c r="E11" i="7"/>
  <c r="H87" i="7" l="1"/>
  <c r="E13" i="7" l="1"/>
  <c r="H6" i="7" l="1"/>
  <c r="H15" i="7" s="1"/>
  <c r="D24" i="7"/>
  <c r="E10" i="7"/>
  <c r="H45" i="7" l="1"/>
  <c r="J52" i="7"/>
  <c r="K52" i="7" s="1"/>
  <c r="L52" i="7" s="1"/>
  <c r="M52" i="7" s="1"/>
  <c r="J46" i="7"/>
  <c r="K46" i="7" s="1"/>
  <c r="L46" i="7" s="1"/>
  <c r="M46" i="7" s="1"/>
  <c r="H42" i="7"/>
  <c r="H41" i="7"/>
  <c r="L7" i="7"/>
  <c r="M87" i="7"/>
  <c r="L87" i="7"/>
  <c r="J87" i="7"/>
  <c r="K87" i="7"/>
  <c r="I87" i="7"/>
  <c r="I7" i="7"/>
  <c r="L76" i="7"/>
  <c r="K76" i="7"/>
  <c r="J76" i="7"/>
  <c r="I76" i="7"/>
  <c r="K7" i="7"/>
  <c r="K54" i="7"/>
  <c r="I54" i="7"/>
  <c r="L54" i="7"/>
  <c r="J54" i="7"/>
  <c r="H51" i="7"/>
  <c r="J7" i="7"/>
  <c r="K27" i="7"/>
  <c r="L27" i="7"/>
  <c r="J27" i="7"/>
  <c r="I27" i="7"/>
  <c r="H21" i="7"/>
  <c r="L48" i="7" l="1"/>
  <c r="J48" i="7"/>
  <c r="K48" i="7"/>
  <c r="I48" i="7"/>
  <c r="I28" i="7"/>
  <c r="H86" i="7"/>
  <c r="H89" i="7" s="1"/>
  <c r="H54" i="7"/>
  <c r="H48" i="7"/>
  <c r="J28" i="7" l="1"/>
  <c r="J35" i="7" s="1"/>
  <c r="J65" i="7" s="1"/>
  <c r="J69" i="7" s="1"/>
  <c r="J75" i="7" s="1"/>
  <c r="L28" i="7"/>
  <c r="H65" i="7"/>
  <c r="K28" i="7"/>
  <c r="J93" i="7"/>
  <c r="I8" i="7"/>
  <c r="I15" i="7" s="1"/>
  <c r="J8" i="7"/>
  <c r="J15" i="7" s="1"/>
  <c r="K8" i="7"/>
  <c r="L8" i="7"/>
  <c r="L64" i="7"/>
  <c r="I64" i="7"/>
  <c r="K17" i="7"/>
  <c r="J64" i="7"/>
  <c r="I17" i="7"/>
  <c r="K64" i="7"/>
  <c r="J17" i="7"/>
  <c r="H69" i="7" l="1"/>
  <c r="H75" i="7"/>
  <c r="M6" i="7"/>
  <c r="M26" i="7" s="1"/>
  <c r="I35" i="7"/>
  <c r="I65" i="7" s="1"/>
  <c r="I69" i="7" s="1"/>
  <c r="I75" i="7" s="1"/>
  <c r="L35" i="7"/>
  <c r="I93" i="7"/>
  <c r="M27" i="7"/>
  <c r="K35" i="7"/>
  <c r="K65" i="7" s="1"/>
  <c r="K69" i="7" s="1"/>
  <c r="K75" i="7" s="1"/>
  <c r="K77" i="7" s="1"/>
  <c r="K78" i="7" s="1"/>
  <c r="K79" i="7" s="1"/>
  <c r="K88" i="7" s="1"/>
  <c r="K89" i="7" s="1"/>
  <c r="H82" i="7"/>
  <c r="J77" i="7"/>
  <c r="J78" i="7" s="1"/>
  <c r="J79" i="7" s="1"/>
  <c r="J88" i="7" s="1"/>
  <c r="J89" i="7" s="1"/>
  <c r="I77" i="7"/>
  <c r="I78" i="7" s="1"/>
  <c r="I79" i="7" s="1"/>
  <c r="I88" i="7" s="1"/>
  <c r="I89" i="7" s="1"/>
  <c r="M7" i="7"/>
  <c r="L10" i="7"/>
  <c r="L9" i="7"/>
  <c r="L15" i="7" s="1"/>
  <c r="K10" i="7"/>
  <c r="K9" i="7"/>
  <c r="K15" i="7" s="1"/>
  <c r="K19" i="7" s="1"/>
  <c r="K40" i="7" s="1"/>
  <c r="J10" i="7"/>
  <c r="J9" i="7"/>
  <c r="J19" i="7" s="1"/>
  <c r="J40" i="7" s="1"/>
  <c r="I10" i="7"/>
  <c r="I9" i="7"/>
  <c r="L93" i="7" l="1"/>
  <c r="L65" i="7"/>
  <c r="L69" i="7" s="1"/>
  <c r="L75" i="7" s="1"/>
  <c r="L77" i="7" s="1"/>
  <c r="L78" i="7" s="1"/>
  <c r="L79" i="7" s="1"/>
  <c r="L88" i="7" s="1"/>
  <c r="L89" i="7" s="1"/>
  <c r="L19" i="7"/>
  <c r="L40" i="7" s="1"/>
  <c r="L18" i="7"/>
  <c r="L39" i="7" s="1"/>
  <c r="I19" i="7"/>
  <c r="I40" i="7" s="1"/>
  <c r="I18" i="7"/>
  <c r="I39" i="7" s="1"/>
  <c r="P39" i="7"/>
  <c r="P16" i="7"/>
  <c r="K93" i="7"/>
  <c r="P28" i="7"/>
  <c r="P10" i="7"/>
  <c r="J82" i="7"/>
  <c r="K82" i="7"/>
  <c r="I82" i="7"/>
  <c r="K20" i="7"/>
  <c r="K41" i="7" s="1"/>
  <c r="M64" i="7"/>
  <c r="I20" i="7"/>
  <c r="I41" i="7" s="1"/>
  <c r="J20" i="7"/>
  <c r="J41" i="7" s="1"/>
  <c r="L20" i="7"/>
  <c r="L41" i="7" s="1"/>
  <c r="K18" i="7"/>
  <c r="K39" i="7" s="1"/>
  <c r="L82" i="7" l="1"/>
  <c r="P79" i="7" s="1"/>
  <c r="M76" i="7"/>
  <c r="M19" i="7"/>
  <c r="M28" i="7"/>
  <c r="J18" i="7"/>
  <c r="J39" i="7" s="1"/>
  <c r="M21" i="7" l="1"/>
  <c r="M40" i="7"/>
  <c r="M18" i="7"/>
  <c r="M20" i="7" l="1"/>
  <c r="M41" i="7" s="1"/>
  <c r="P40" i="7" s="1"/>
  <c r="M39" i="7"/>
  <c r="P18" i="7"/>
  <c r="M42" i="7"/>
  <c r="P41" i="7" s="1"/>
  <c r="M29" i="7" l="1"/>
  <c r="M30" i="7" s="1"/>
  <c r="M31" i="7"/>
  <c r="M32" i="7" l="1"/>
  <c r="M34" i="7" l="1"/>
  <c r="M53" i="7" s="1"/>
  <c r="M54" i="7" s="1"/>
  <c r="O54" i="7" s="1"/>
  <c r="P54" i="7" s="1"/>
  <c r="M33" i="7"/>
  <c r="M35" i="7" s="1"/>
  <c r="M93" i="7" s="1"/>
  <c r="M8" i="7"/>
  <c r="P30" i="7" l="1"/>
  <c r="P31" i="7"/>
  <c r="M65" i="7"/>
  <c r="M69" i="7" s="1"/>
  <c r="M75" i="7" s="1"/>
  <c r="M77" i="7" s="1"/>
  <c r="M78" i="7" s="1"/>
  <c r="M79" i="7" s="1"/>
  <c r="M88" i="7" s="1"/>
  <c r="M89" i="7" s="1"/>
  <c r="P29" i="7"/>
  <c r="M11" i="7"/>
  <c r="M12" i="7" s="1"/>
  <c r="M9" i="7"/>
  <c r="M82" i="7" l="1"/>
  <c r="P81" i="7" s="1"/>
  <c r="M10" i="7"/>
  <c r="P80" i="7" l="1"/>
  <c r="M13" i="7"/>
  <c r="M15" i="7" s="1"/>
  <c r="M14" i="7"/>
  <c r="M47" i="7" s="1"/>
  <c r="M48" i="7" s="1"/>
  <c r="O48" i="7" s="1"/>
  <c r="P48" i="7" s="1"/>
  <c r="P11" i="7" l="1"/>
  <c r="P13" i="7"/>
  <c r="O89" i="7"/>
  <c r="P89" i="7" s="1"/>
  <c r="P12" i="7"/>
  <c r="H20" i="7" l="1"/>
  <c r="P17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A.J. Peak</author>
  </authors>
  <commentList>
    <comment ref="G46" authorId="0" shapeId="0" xr:uid="{B09C6C6A-4913-450F-91E8-1A6BEC8ECF2B}">
      <text>
        <r>
          <rPr>
            <b/>
            <sz val="9"/>
            <color indexed="81"/>
            <rFont val="Tahoma"/>
            <family val="2"/>
          </rPr>
          <t>A.J. Peak:</t>
        </r>
        <r>
          <rPr>
            <sz val="9"/>
            <color indexed="81"/>
            <rFont val="Tahoma"/>
            <family val="2"/>
          </rPr>
          <t xml:space="preserve">
Tenant pays assetment management fee in form of admin &amp; property management fees</t>
        </r>
      </text>
    </comment>
    <comment ref="G52" authorId="0" shapeId="0" xr:uid="{F0F96039-C8D3-4407-B34D-A58B411F750F}">
      <text>
        <r>
          <rPr>
            <b/>
            <sz val="9"/>
            <color indexed="81"/>
            <rFont val="Tahoma"/>
            <family val="2"/>
          </rPr>
          <t>A.J. Peak:</t>
        </r>
        <r>
          <rPr>
            <sz val="9"/>
            <color indexed="81"/>
            <rFont val="Tahoma"/>
            <family val="2"/>
          </rPr>
          <t xml:space="preserve">
Tenant pays assetment management fee in form of admin &amp; property management fees</t>
        </r>
      </text>
    </comment>
    <comment ref="H66" authorId="0" shapeId="0" xr:uid="{9F0A2047-F1F0-4C0D-BCA6-55AA567DD5C1}">
      <text>
        <r>
          <rPr>
            <b/>
            <sz val="9"/>
            <color indexed="81"/>
            <rFont val="Tahoma"/>
            <charset val="1"/>
          </rPr>
          <t xml:space="preserve">A.J. Peak: </t>
        </r>
        <r>
          <rPr>
            <sz val="9"/>
            <color indexed="81"/>
            <rFont val="Tahoma"/>
            <family val="2"/>
          </rPr>
          <t>Note, in real life, Health Wealth Fund will charge a $50K fee, pay you approximately $25K of that fee. So you would invest all $1M into the fund, fund will send back 50% of the acquistion fee which will be approximately $25K in this illustration.</t>
        </r>
      </text>
    </comment>
  </commentList>
</comments>
</file>

<file path=xl/sharedStrings.xml><?xml version="1.0" encoding="utf-8"?>
<sst xmlns="http://schemas.openxmlformats.org/spreadsheetml/2006/main" count="159" uniqueCount="110">
  <si>
    <t>Promote</t>
  </si>
  <si>
    <t>Due Diligence Fee</t>
  </si>
  <si>
    <t>%</t>
  </si>
  <si>
    <t>LP IRR</t>
  </si>
  <si>
    <r>
      <rPr>
        <b/>
        <sz val="11"/>
        <color theme="1"/>
        <rFont val="Calibri"/>
        <family val="2"/>
        <scheme val="minor"/>
      </rPr>
      <t>Acquisition Fee</t>
    </r>
    <r>
      <rPr>
        <sz val="11"/>
        <color theme="1"/>
        <rFont val="Calibri"/>
        <family val="2"/>
        <scheme val="minor"/>
      </rPr>
      <t xml:space="preserve"> ( % of purchase price)</t>
    </r>
  </si>
  <si>
    <r>
      <rPr>
        <b/>
        <sz val="11"/>
        <color theme="1"/>
        <rFont val="Calibri"/>
        <family val="2"/>
        <scheme val="minor"/>
      </rPr>
      <t xml:space="preserve">Asset Management Fee </t>
    </r>
    <r>
      <rPr>
        <sz val="11"/>
        <color theme="1"/>
        <rFont val="Calibri"/>
        <family val="2"/>
        <scheme val="minor"/>
      </rPr>
      <t>(% gross rent)</t>
    </r>
  </si>
  <si>
    <r>
      <rPr>
        <b/>
        <sz val="11"/>
        <color theme="1"/>
        <rFont val="Calibri"/>
        <family val="2"/>
        <scheme val="minor"/>
      </rPr>
      <t>Preferred Return</t>
    </r>
    <r>
      <rPr>
        <sz val="11"/>
        <color theme="1"/>
        <rFont val="Calibri"/>
        <family val="2"/>
        <scheme val="minor"/>
      </rPr>
      <t xml:space="preserve"> (hurdle rate)</t>
    </r>
  </si>
  <si>
    <t>&lt;$500K invested</t>
  </si>
  <si>
    <t>$+500K invested</t>
  </si>
  <si>
    <t xml:space="preserve">Targeted Entry Cap Rate </t>
  </si>
  <si>
    <t xml:space="preserve">Targeted LTV </t>
  </si>
  <si>
    <t>Targeted Cash on Cash</t>
  </si>
  <si>
    <r>
      <rPr>
        <b/>
        <sz val="11"/>
        <color theme="1"/>
        <rFont val="Calibri"/>
        <family val="2"/>
        <scheme val="minor"/>
      </rPr>
      <t>Promote</t>
    </r>
    <r>
      <rPr>
        <sz val="11"/>
        <color theme="1"/>
        <rFont val="Calibri"/>
        <family val="2"/>
        <scheme val="minor"/>
      </rPr>
      <t xml:space="preserve"> </t>
    </r>
  </si>
  <si>
    <t>(tier 1: 10 to 15% IRR)</t>
  </si>
  <si>
    <t>(tier 2: +15% IRR)</t>
  </si>
  <si>
    <t>Key Underwriting Criteria &amp; Assumptions</t>
  </si>
  <si>
    <r>
      <t xml:space="preserve">Project Economics </t>
    </r>
    <r>
      <rPr>
        <sz val="11"/>
        <color theme="1"/>
        <rFont val="Calibri"/>
        <family val="2"/>
        <scheme val="minor"/>
      </rPr>
      <t>( illustration)</t>
    </r>
  </si>
  <si>
    <t>Equity Raised</t>
  </si>
  <si>
    <t>Purchase Price (Asset Value)</t>
  </si>
  <si>
    <t>Project IRR</t>
  </si>
  <si>
    <t>LP $s Invested (min investment)</t>
  </si>
  <si>
    <t>Fund of Funds (Fund Manager)</t>
  </si>
  <si>
    <t>Fund Manager Economics</t>
  </si>
  <si>
    <t>Fund Manager Cash Flows</t>
  </si>
  <si>
    <t>Fund Admin Fee</t>
  </si>
  <si>
    <t>Total Fund Manager Cash Flows</t>
  </si>
  <si>
    <t>% of Equity Invested</t>
  </si>
  <si>
    <r>
      <rPr>
        <b/>
        <sz val="11"/>
        <color theme="1"/>
        <rFont val="Calibri"/>
        <family val="2"/>
        <scheme val="minor"/>
      </rPr>
      <t>Promote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(investors of Fund)</t>
    </r>
  </si>
  <si>
    <r>
      <rPr>
        <b/>
        <sz val="11"/>
        <color theme="0"/>
        <rFont val="Calibri"/>
        <family val="2"/>
        <scheme val="minor"/>
      </rPr>
      <t>Time</t>
    </r>
    <r>
      <rPr>
        <sz val="11"/>
        <color theme="0"/>
        <rFont val="Calibri"/>
        <family val="2"/>
        <scheme val="minor"/>
      </rPr>
      <t xml:space="preserve"> (years)</t>
    </r>
  </si>
  <si>
    <t>Acquisition Fee ( % of purchase price)</t>
  </si>
  <si>
    <t>Total GP Proceeds</t>
  </si>
  <si>
    <t>Project IRR Possible Outcomes</t>
  </si>
  <si>
    <r>
      <rPr>
        <b/>
        <sz val="11"/>
        <color theme="1"/>
        <rFont val="Calibri"/>
        <family val="2"/>
        <scheme val="minor"/>
      </rPr>
      <t xml:space="preserve">Amount Raised </t>
    </r>
    <r>
      <rPr>
        <sz val="11"/>
        <color theme="1"/>
        <rFont val="Calibri"/>
        <family val="2"/>
        <scheme val="minor"/>
      </rPr>
      <t>($Millions)</t>
    </r>
  </si>
  <si>
    <t>Fund Managers Estimated Returns As a % of Capital Raised</t>
  </si>
  <si>
    <t>Fund Managers Estimated Returns In $s</t>
  </si>
  <si>
    <r>
      <t xml:space="preserve">GP Cash Flows </t>
    </r>
    <r>
      <rPr>
        <sz val="11"/>
        <color theme="1"/>
        <rFont val="Calibri"/>
        <family val="2"/>
        <scheme val="minor"/>
      </rPr>
      <t xml:space="preserve"> (&lt;$500K invested scenario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</si>
  <si>
    <t>(1) For modeling comparison purposes, this is the economics the GP receives if they sourced this amount via several investors</t>
  </si>
  <si>
    <t>writing checks for &lt;$500K. The amount is set the same for the $+500K scenio to provide easier apples to apples comparisons</t>
  </si>
  <si>
    <t>Project $ Return Possible Outcomes</t>
  </si>
  <si>
    <t>C. Promote (A-B)</t>
  </si>
  <si>
    <t>H. Total LP Cash Flows (B+D+F)</t>
  </si>
  <si>
    <t>15% IRR Hurdle Check</t>
  </si>
  <si>
    <t>Project IRR Check</t>
  </si>
  <si>
    <t>A. Gross Project Cash Flows</t>
  </si>
  <si>
    <t>B. Preferred Return Hurdle (LP)</t>
  </si>
  <si>
    <t>Discounted Cashflows For IRR calculations</t>
  </si>
  <si>
    <t>Present Value of Project Cash Flows @ Project IRR</t>
  </si>
  <si>
    <t>Present Value of LP Cash Fows @ 15% IRR</t>
  </si>
  <si>
    <t>LP cash flows check for 15% IRR</t>
  </si>
  <si>
    <t>LP Average Cash on Cash</t>
  </si>
  <si>
    <t>LP Equity Multiple</t>
  </si>
  <si>
    <t>LP Annualized Return</t>
  </si>
  <si>
    <r>
      <t xml:space="preserve">Cash Flows </t>
    </r>
    <r>
      <rPr>
        <sz val="11"/>
        <color theme="1"/>
        <rFont val="Calibri"/>
        <family val="2"/>
        <scheme val="minor"/>
      </rPr>
      <t>(A2 shares - &lt;$500K invested scenario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</si>
  <si>
    <t>Total GP Cash Flows</t>
  </si>
  <si>
    <t>Asset Management Fee (% gross rent) (tenant pays)</t>
  </si>
  <si>
    <r>
      <t xml:space="preserve">Cash Flows </t>
    </r>
    <r>
      <rPr>
        <sz val="11"/>
        <color theme="1"/>
        <rFont val="Calibri"/>
        <family val="2"/>
        <scheme val="minor"/>
      </rPr>
      <t>(Fund Inbound Cash Flows from owning A1 shares)</t>
    </r>
  </si>
  <si>
    <r>
      <t xml:space="preserve">Fund Expenses </t>
    </r>
    <r>
      <rPr>
        <sz val="8"/>
        <color theme="1"/>
        <rFont val="Calibri"/>
        <family val="2"/>
        <scheme val="minor"/>
      </rPr>
      <t>(Avestor or Tribevest</t>
    </r>
    <r>
      <rPr>
        <vertAlign val="superscript"/>
        <sz val="8"/>
        <color theme="1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 xml:space="preserve"> full service solution)</t>
    </r>
  </si>
  <si>
    <t>H. Total Fund LP Net Cash Flows</t>
  </si>
  <si>
    <t>D. LP Promote</t>
  </si>
  <si>
    <t xml:space="preserve">E. GP Promote </t>
  </si>
  <si>
    <t>GP</t>
  </si>
  <si>
    <t>LP</t>
  </si>
  <si>
    <t>Fund of Funds Investment into Health Wealth Fund 1</t>
  </si>
  <si>
    <t>Direct Investment Into Fund of Funds</t>
  </si>
  <si>
    <t>(tier 3: +22% IRR)</t>
  </si>
  <si>
    <r>
      <t xml:space="preserve">Cash Flows </t>
    </r>
    <r>
      <rPr>
        <sz val="11"/>
        <color theme="1"/>
        <rFont val="Calibri"/>
        <family val="2"/>
        <scheme val="minor"/>
      </rPr>
      <t>(+$500K invested scenario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</si>
  <si>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 xml:space="preserve">Cash Flows </t>
    </r>
    <r>
      <rPr>
        <sz val="11"/>
        <color theme="1"/>
        <rFont val="Calibri"/>
        <family val="2"/>
        <scheme val="minor"/>
      </rPr>
      <t>(&lt;$500K invested scenario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</si>
  <si>
    <t>5-Year Projected Returns</t>
  </si>
  <si>
    <t>Success Metric</t>
  </si>
  <si>
    <t>Minimum Investment ($)</t>
  </si>
  <si>
    <t>$100K</t>
  </si>
  <si>
    <t>$500K</t>
  </si>
  <si>
    <t>IRR (base case) (%)</t>
  </si>
  <si>
    <t>IRR (upside scenario) (%)</t>
  </si>
  <si>
    <t>Annualized Return (%)</t>
  </si>
  <si>
    <t>Equity Multiple</t>
  </si>
  <si>
    <t>2.0x</t>
  </si>
  <si>
    <t>2.2x</t>
  </si>
  <si>
    <t>Cash on Cash (%)</t>
  </si>
  <si>
    <t>Investors receive any accrued but unpaid 8% preferred return. Investors receive 100% of their original invested capital back</t>
  </si>
  <si>
    <t>Investors receive any accrued but unpaid 9% preferred return. Investors receive 100% of their original invested capital back</t>
  </si>
  <si>
    <t>Distributions up to 15% IRR are split 80 / 20 to LP / GP</t>
  </si>
  <si>
    <t>Distributions up to 15% IRR are split 90 / 10 to LP / GP</t>
  </si>
  <si>
    <t>Distributions up to 22% IRR are split 70 / 30 to LP / GP</t>
  </si>
  <si>
    <t>Distributions up to 22% IRR are split 85 / 15 to LP / GP</t>
  </si>
  <si>
    <t>Excess distributions are split 50 / 50 to LP / GP</t>
  </si>
  <si>
    <t>Excess distributions are split 75 / 25 to LP / GP</t>
  </si>
  <si>
    <t>D. LP Promote (tier 1 X C)</t>
  </si>
  <si>
    <t>E. GP Promote (tier 1 X C)</t>
  </si>
  <si>
    <t>F. LP Promote (tier 2 X C)</t>
  </si>
  <si>
    <t>H. LP Promote (tier 3 X C)</t>
  </si>
  <si>
    <t>G. GP Promote (tier 2 X C)</t>
  </si>
  <si>
    <t>I. GP Promote (tier 3 X C)</t>
  </si>
  <si>
    <t>Present Value of LP Cash Fows @ 22% IRR</t>
  </si>
  <si>
    <t>22% IRR Hurdle Check</t>
  </si>
  <si>
    <t>LP cash flows check for 22% IRR</t>
  </si>
  <si>
    <r>
      <rPr>
        <b/>
        <sz val="11"/>
        <color theme="1"/>
        <rFont val="Calibri"/>
        <family val="2"/>
        <scheme val="minor"/>
      </rPr>
      <t>Due Diligence Fee</t>
    </r>
    <r>
      <rPr>
        <sz val="11"/>
        <color theme="1"/>
        <rFont val="Calibri"/>
        <family val="2"/>
        <scheme val="minor"/>
      </rPr>
      <t xml:space="preserve"> ( % of equity raised)</t>
    </r>
  </si>
  <si>
    <r>
      <rPr>
        <b/>
        <sz val="11"/>
        <color theme="1"/>
        <rFont val="Calibri"/>
        <family val="2"/>
        <scheme val="minor"/>
      </rPr>
      <t xml:space="preserve">AuM Fee </t>
    </r>
    <r>
      <rPr>
        <sz val="11"/>
        <color theme="1"/>
        <rFont val="Calibri"/>
        <family val="2"/>
        <scheme val="minor"/>
      </rPr>
      <t>(% of equity raised)</t>
    </r>
  </si>
  <si>
    <t>Direct Investment Into Fund</t>
  </si>
  <si>
    <t>Project Returns (base case) (%)</t>
  </si>
  <si>
    <t>Fund of Funds</t>
  </si>
  <si>
    <t>Single Investor</t>
  </si>
  <si>
    <r>
      <t xml:space="preserve">GP Cash Flows </t>
    </r>
    <r>
      <rPr>
        <sz val="11"/>
        <color theme="1"/>
        <rFont val="Calibri"/>
        <family val="2"/>
        <scheme val="minor"/>
      </rPr>
      <t xml:space="preserve"> (+$500K invested scenario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</si>
  <si>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(2) This scenario is for Fund of Funds where all the money comes in at this level e.g., 1 wire for this amount.</t>
  </si>
  <si>
    <t>Distribution Waterfall (&lt;$500K)</t>
  </si>
  <si>
    <t>Distribution Waterfall (+$500K)</t>
  </si>
  <si>
    <r>
      <t xml:space="preserve">Investor Class </t>
    </r>
    <r>
      <rPr>
        <b/>
        <sz val="8"/>
        <rFont val="Avenir Book"/>
      </rPr>
      <t>(&lt;$500K)</t>
    </r>
  </si>
  <si>
    <r>
      <t xml:space="preserve">Investor Class </t>
    </r>
    <r>
      <rPr>
        <b/>
        <sz val="8"/>
        <rFont val="Avenir Book"/>
      </rPr>
      <t>($+500K)</t>
    </r>
  </si>
  <si>
    <t>Total FoF Proceeds</t>
  </si>
  <si>
    <r>
      <rPr>
        <b/>
        <sz val="16"/>
        <color rgb="FF0070C0"/>
        <rFont val="Calibri"/>
        <family val="2"/>
        <scheme val="minor"/>
      </rPr>
      <t>Direct Investment Into</t>
    </r>
    <r>
      <rPr>
        <b/>
        <sz val="16"/>
        <color theme="0"/>
        <rFont val="Calibri"/>
        <family val="2"/>
        <scheme val="minor"/>
      </rPr>
      <t xml:space="preserve"> Fund (what LP shareholders receive)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</si>
</sst>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  <numFmt numFmtId="166" formatCode="#,##0.0_);\(#,##0.0\)"/>
    <numFmt numFmtId="167" formatCode="&quot;$&quot;#,##0.0_);[Red]\(&quot;$&quot;#,##0.0\)"/>
    <numFmt numFmtId="168" formatCode="_(&quot;$&quot;* #,##0.000_);_(&quot;$&quot;* \(#,##0.000\);_(&quot;$&quot;* &quot;-&quot;???_);_(@_)"/>
    <numFmt numFmtId="169" formatCode="&quot;$&quot;#,##0"/>
  </numFmts>
  <fonts count="53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color theme="0"/>
      <name val="Calibri"/>
      <family val="2"/>
    </font>
    <font>
      <sz val="16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11"/>
      <color theme="6" tint="-0.499984740745262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sz val="11"/>
      <color theme="8" tint="0.3999755851924192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theme="4"/>
      <name val="Calibri"/>
      <family val="2"/>
      <scheme val="minor"/>
    </font>
    <font>
      <b/>
      <sz val="16"/>
      <color theme="9" tint="-0.499984740745262"/>
      <name val="Calibri"/>
      <family val="2"/>
      <scheme val="minor"/>
    </font>
    <font>
      <sz val="11"/>
      <color theme="8" tint="0.59999389629810485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0"/>
      <name val="Arial"/>
      <family val="2"/>
    </font>
    <font>
      <sz val="10"/>
      <color rgb="FF143057"/>
      <name val="Avenir Book"/>
      <family val="2"/>
    </font>
    <font>
      <b/>
      <sz val="10"/>
      <color rgb="FF143057"/>
      <name val="Avenir Book"/>
      <family val="2"/>
    </font>
    <font>
      <b/>
      <sz val="11"/>
      <color rgb="FF143057"/>
      <name val="Avenir Book"/>
      <family val="2"/>
    </font>
    <font>
      <sz val="12"/>
      <color theme="1"/>
      <name val="Calibri"/>
      <family val="2"/>
      <scheme val="minor"/>
    </font>
    <font>
      <b/>
      <sz val="12"/>
      <color theme="0"/>
      <name val="Avenir Book"/>
      <family val="2"/>
    </font>
    <font>
      <b/>
      <sz val="12"/>
      <name val="Avenir Book"/>
      <family val="2"/>
    </font>
    <font>
      <sz val="12"/>
      <color rgb="FF143057"/>
      <name val="Avenir Book"/>
      <family val="2"/>
    </font>
    <font>
      <sz val="12"/>
      <color rgb="FF143057"/>
      <name val="Avenir Book"/>
    </font>
    <font>
      <sz val="10"/>
      <name val="Arial"/>
    </font>
    <font>
      <i/>
      <sz val="11"/>
      <color theme="1"/>
      <name val="Calibri"/>
      <family val="2"/>
      <scheme val="minor"/>
    </font>
    <font>
      <b/>
      <sz val="8"/>
      <name val="Avenir Book"/>
    </font>
    <font>
      <b/>
      <sz val="9"/>
      <color indexed="81"/>
      <name val="Tahoma"/>
      <charset val="1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143057"/>
        <bgColor indexed="64"/>
      </patternFill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/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hair">
        <color theme="4"/>
      </left>
      <right/>
      <top style="hair">
        <color theme="4"/>
      </top>
      <bottom style="thin">
        <color indexed="64"/>
      </bottom>
      <diagonal/>
    </border>
    <border>
      <left/>
      <right/>
      <top style="hair">
        <color theme="4"/>
      </top>
      <bottom style="thin">
        <color indexed="64"/>
      </bottom>
      <diagonal/>
    </border>
    <border>
      <left style="hair">
        <color theme="4"/>
      </left>
      <right/>
      <top/>
      <bottom/>
      <diagonal/>
    </border>
    <border>
      <left/>
      <right style="hair">
        <color theme="4"/>
      </right>
      <top style="thin">
        <color indexed="64"/>
      </top>
      <bottom/>
      <diagonal/>
    </border>
    <border>
      <left/>
      <right style="hair">
        <color theme="4"/>
      </right>
      <top/>
      <bottom/>
      <diagonal/>
    </border>
    <border>
      <left style="hair">
        <color theme="4"/>
      </left>
      <right/>
      <top style="thin">
        <color indexed="64"/>
      </top>
      <bottom style="hair">
        <color theme="4"/>
      </bottom>
      <diagonal/>
    </border>
    <border>
      <left/>
      <right/>
      <top style="thin">
        <color indexed="64"/>
      </top>
      <bottom style="hair">
        <color theme="4"/>
      </bottom>
      <diagonal/>
    </border>
    <border>
      <left/>
      <right style="hair">
        <color theme="4"/>
      </right>
      <top style="thin">
        <color indexed="64"/>
      </top>
      <bottom style="hair">
        <color theme="4"/>
      </bottom>
      <diagonal/>
    </border>
    <border>
      <left style="hair">
        <color theme="4"/>
      </left>
      <right/>
      <top style="hair">
        <color theme="4"/>
      </top>
      <bottom/>
      <diagonal/>
    </border>
    <border>
      <left/>
      <right/>
      <top style="hair">
        <color theme="4"/>
      </top>
      <bottom/>
      <diagonal/>
    </border>
    <border>
      <left/>
      <right style="hair">
        <color theme="4"/>
      </right>
      <top style="hair">
        <color theme="4"/>
      </top>
      <bottom/>
      <diagonal/>
    </border>
    <border>
      <left style="hair">
        <color theme="4"/>
      </left>
      <right/>
      <top/>
      <bottom style="double">
        <color indexed="64"/>
      </bottom>
      <diagonal/>
    </border>
    <border>
      <left style="hair">
        <color theme="4"/>
      </left>
      <right/>
      <top/>
      <bottom style="hair">
        <color theme="4"/>
      </bottom>
      <diagonal/>
    </border>
    <border>
      <left/>
      <right/>
      <top style="double">
        <color indexed="64"/>
      </top>
      <bottom style="hair">
        <color theme="4"/>
      </bottom>
      <diagonal/>
    </border>
    <border>
      <left/>
      <right style="hair">
        <color theme="4"/>
      </right>
      <top style="double">
        <color indexed="64"/>
      </top>
      <bottom style="hair">
        <color theme="4"/>
      </bottom>
      <diagonal/>
    </border>
    <border>
      <left/>
      <right/>
      <top/>
      <bottom style="dotted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40" fillId="0" borderId="1"/>
    <xf numFmtId="0" fontId="44" fillId="0" borderId="1"/>
    <xf numFmtId="9" fontId="40" fillId="0" borderId="1" applyFont="0" applyFill="0" applyBorder="0" applyAlignment="0" applyProtection="0"/>
    <xf numFmtId="0" fontId="49" fillId="0" borderId="1"/>
  </cellStyleXfs>
  <cellXfs count="259">
    <xf numFmtId="0" fontId="0" fillId="0" borderId="0" xfId="0"/>
    <xf numFmtId="0" fontId="0" fillId="0" borderId="6" xfId="0" applyBorder="1"/>
    <xf numFmtId="0" fontId="13" fillId="0" borderId="0" xfId="0" applyFont="1" applyAlignment="1">
      <alignment horizontal="left"/>
    </xf>
    <xf numFmtId="0" fontId="0" fillId="0" borderId="1" xfId="0" applyBorder="1"/>
    <xf numFmtId="0" fontId="12" fillId="3" borderId="6" xfId="0" applyFont="1" applyFill="1" applyBorder="1"/>
    <xf numFmtId="0" fontId="14" fillId="3" borderId="1" xfId="0" applyFont="1" applyFill="1" applyBorder="1"/>
    <xf numFmtId="0" fontId="14" fillId="3" borderId="7" xfId="0" applyFont="1" applyFill="1" applyBorder="1"/>
    <xf numFmtId="0" fontId="13" fillId="2" borderId="6" xfId="0" applyFont="1" applyFill="1" applyBorder="1" applyAlignment="1">
      <alignment horizontal="left" indent="1"/>
    </xf>
    <xf numFmtId="0" fontId="13" fillId="2" borderId="1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wrapText="1"/>
    </xf>
    <xf numFmtId="10" fontId="21" fillId="4" borderId="14" xfId="2" applyNumberFormat="1" applyFont="1" applyFill="1" applyBorder="1" applyAlignment="1">
      <alignment horizontal="center"/>
    </xf>
    <xf numFmtId="0" fontId="0" fillId="2" borderId="4" xfId="0" applyFill="1" applyBorder="1"/>
    <xf numFmtId="0" fontId="9" fillId="2" borderId="6" xfId="0" applyFont="1" applyFill="1" applyBorder="1" applyAlignment="1">
      <alignment horizontal="left" indent="2"/>
    </xf>
    <xf numFmtId="10" fontId="0" fillId="2" borderId="1" xfId="2" applyNumberFormat="1" applyFont="1" applyFill="1" applyBorder="1" applyAlignment="1">
      <alignment horizontal="center"/>
    </xf>
    <xf numFmtId="10" fontId="0" fillId="2" borderId="7" xfId="2" applyNumberFormat="1" applyFont="1" applyFill="1" applyBorder="1" applyAlignment="1">
      <alignment horizontal="center"/>
    </xf>
    <xf numFmtId="0" fontId="0" fillId="2" borderId="1" xfId="0" applyFill="1" applyBorder="1"/>
    <xf numFmtId="0" fontId="0" fillId="2" borderId="7" xfId="0" applyFill="1" applyBorder="1"/>
    <xf numFmtId="0" fontId="9" fillId="2" borderId="6" xfId="0" applyFont="1" applyFill="1" applyBorder="1" applyAlignment="1">
      <alignment horizontal="left" indent="3"/>
    </xf>
    <xf numFmtId="0" fontId="13" fillId="2" borderId="6" xfId="0" applyFont="1" applyFill="1" applyBorder="1" applyAlignment="1">
      <alignment horizontal="left" indent="2"/>
    </xf>
    <xf numFmtId="10" fontId="18" fillId="2" borderId="7" xfId="2" applyNumberFormat="1" applyFont="1" applyFill="1" applyBorder="1" applyAlignment="1">
      <alignment horizontal="center"/>
    </xf>
    <xf numFmtId="165" fontId="15" fillId="2" borderId="1" xfId="1" applyNumberFormat="1" applyFont="1" applyFill="1" applyBorder="1" applyAlignment="1">
      <alignment horizontal="center"/>
    </xf>
    <xf numFmtId="165" fontId="18" fillId="2" borderId="11" xfId="0" applyNumberFormat="1" applyFont="1" applyFill="1" applyBorder="1"/>
    <xf numFmtId="0" fontId="13" fillId="2" borderId="6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0" fillId="2" borderId="9" xfId="0" applyFill="1" applyBorder="1"/>
    <xf numFmtId="0" fontId="12" fillId="5" borderId="6" xfId="0" applyFont="1" applyFill="1" applyBorder="1"/>
    <xf numFmtId="165" fontId="21" fillId="4" borderId="13" xfId="1" applyNumberFormat="1" applyFont="1" applyFill="1" applyBorder="1" applyAlignment="1">
      <alignment horizontal="center"/>
    </xf>
    <xf numFmtId="0" fontId="13" fillId="2" borderId="5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 indent="2"/>
    </xf>
    <xf numFmtId="10" fontId="16" fillId="2" borderId="1" xfId="2" applyNumberFormat="1" applyFont="1" applyFill="1" applyBorder="1" applyAlignment="1">
      <alignment horizontal="center"/>
    </xf>
    <xf numFmtId="0" fontId="13" fillId="2" borderId="7" xfId="0" applyFont="1" applyFill="1" applyBorder="1" applyAlignment="1">
      <alignment horizontal="left"/>
    </xf>
    <xf numFmtId="0" fontId="13" fillId="2" borderId="9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center" wrapText="1"/>
    </xf>
    <xf numFmtId="0" fontId="12" fillId="3" borderId="16" xfId="0" applyFont="1" applyFill="1" applyBorder="1" applyAlignment="1">
      <alignment horizontal="center" wrapText="1"/>
    </xf>
    <xf numFmtId="0" fontId="12" fillId="3" borderId="15" xfId="0" applyFont="1" applyFill="1" applyBorder="1" applyAlignment="1">
      <alignment horizontal="left" indent="1"/>
    </xf>
    <xf numFmtId="0" fontId="0" fillId="6" borderId="0" xfId="0" applyFill="1"/>
    <xf numFmtId="0" fontId="13" fillId="6" borderId="0" xfId="0" applyFont="1" applyFill="1" applyAlignment="1">
      <alignment horizontal="left"/>
    </xf>
    <xf numFmtId="0" fontId="14" fillId="3" borderId="6" xfId="0" applyFont="1" applyFill="1" applyBorder="1" applyAlignment="1">
      <alignment horizontal="left"/>
    </xf>
    <xf numFmtId="165" fontId="18" fillId="0" borderId="1" xfId="0" applyNumberFormat="1" applyFont="1" applyBorder="1"/>
    <xf numFmtId="0" fontId="18" fillId="0" borderId="1" xfId="0" applyFont="1" applyBorder="1"/>
    <xf numFmtId="0" fontId="10" fillId="2" borderId="1" xfId="0" applyFont="1" applyFill="1" applyBorder="1" applyAlignment="1">
      <alignment horizontal="center"/>
    </xf>
    <xf numFmtId="0" fontId="23" fillId="6" borderId="0" xfId="0" applyFont="1" applyFill="1"/>
    <xf numFmtId="0" fontId="24" fillId="7" borderId="3" xfId="0" applyFont="1" applyFill="1" applyBorder="1"/>
    <xf numFmtId="0" fontId="23" fillId="7" borderId="4" xfId="0" applyFont="1" applyFill="1" applyBorder="1"/>
    <xf numFmtId="0" fontId="23" fillId="7" borderId="5" xfId="0" applyFont="1" applyFill="1" applyBorder="1"/>
    <xf numFmtId="0" fontId="0" fillId="0" borderId="10" xfId="0" applyBorder="1" applyAlignment="1">
      <alignment horizontal="centerContinuous"/>
    </xf>
    <xf numFmtId="10" fontId="0" fillId="0" borderId="2" xfId="0" applyNumberFormat="1" applyBorder="1"/>
    <xf numFmtId="164" fontId="27" fillId="0" borderId="1" xfId="2" applyNumberFormat="1" applyFont="1" applyBorder="1"/>
    <xf numFmtId="164" fontId="0" fillId="0" borderId="1" xfId="0" applyNumberFormat="1" applyBorder="1"/>
    <xf numFmtId="164" fontId="27" fillId="0" borderId="1" xfId="0" applyNumberFormat="1" applyFont="1" applyBorder="1"/>
    <xf numFmtId="0" fontId="26" fillId="0" borderId="1" xfId="0" applyFont="1" applyBorder="1" applyAlignment="1">
      <alignment horizontal="centerContinuous"/>
    </xf>
    <xf numFmtId="0" fontId="26" fillId="0" borderId="15" xfId="0" applyFont="1" applyBorder="1" applyAlignment="1">
      <alignment horizontal="centerContinuous"/>
    </xf>
    <xf numFmtId="167" fontId="0" fillId="0" borderId="19" xfId="0" applyNumberFormat="1" applyBorder="1" applyAlignment="1">
      <alignment horizontal="center"/>
    </xf>
    <xf numFmtId="167" fontId="0" fillId="0" borderId="21" xfId="0" applyNumberFormat="1" applyBorder="1" applyAlignment="1">
      <alignment horizontal="center"/>
    </xf>
    <xf numFmtId="10" fontId="27" fillId="2" borderId="1" xfId="2" applyNumberFormat="1" applyFont="1" applyFill="1" applyBorder="1" applyAlignment="1">
      <alignment horizontal="center"/>
    </xf>
    <xf numFmtId="10" fontId="27" fillId="2" borderId="7" xfId="2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6" fontId="0" fillId="2" borderId="7" xfId="0" applyNumberFormat="1" applyFill="1" applyBorder="1" applyAlignment="1">
      <alignment horizontal="center"/>
    </xf>
    <xf numFmtId="9" fontId="0" fillId="2" borderId="7" xfId="2" applyFont="1" applyFill="1" applyBorder="1" applyAlignment="1">
      <alignment horizontal="center"/>
    </xf>
    <xf numFmtId="9" fontId="0" fillId="2" borderId="1" xfId="2" applyFont="1" applyFill="1" applyBorder="1" applyAlignment="1">
      <alignment horizontal="center"/>
    </xf>
    <xf numFmtId="6" fontId="0" fillId="2" borderId="1" xfId="0" applyNumberFormat="1" applyFill="1" applyBorder="1" applyAlignment="1">
      <alignment horizontal="center"/>
    </xf>
    <xf numFmtId="0" fontId="18" fillId="0" borderId="19" xfId="0" applyFont="1" applyBorder="1"/>
    <xf numFmtId="165" fontId="18" fillId="0" borderId="19" xfId="0" applyNumberFormat="1" applyFont="1" applyBorder="1"/>
    <xf numFmtId="165" fontId="19" fillId="8" borderId="10" xfId="0" applyNumberFormat="1" applyFont="1" applyFill="1" applyBorder="1"/>
    <xf numFmtId="165" fontId="18" fillId="9" borderId="10" xfId="0" applyNumberFormat="1" applyFont="1" applyFill="1" applyBorder="1"/>
    <xf numFmtId="165" fontId="19" fillId="9" borderId="10" xfId="0" applyNumberFormat="1" applyFont="1" applyFill="1" applyBorder="1"/>
    <xf numFmtId="0" fontId="14" fillId="3" borderId="25" xfId="0" applyFont="1" applyFill="1" applyBorder="1" applyAlignment="1">
      <alignment horizontal="left"/>
    </xf>
    <xf numFmtId="0" fontId="22" fillId="3" borderId="31" xfId="0" applyFont="1" applyFill="1" applyBorder="1" applyAlignment="1">
      <alignment horizontal="center"/>
    </xf>
    <xf numFmtId="0" fontId="22" fillId="3" borderId="32" xfId="0" applyFont="1" applyFill="1" applyBorder="1" applyAlignment="1">
      <alignment horizontal="center"/>
    </xf>
    <xf numFmtId="0" fontId="6" fillId="9" borderId="33" xfId="0" applyFont="1" applyFill="1" applyBorder="1" applyAlignment="1">
      <alignment horizontal="left" indent="4"/>
    </xf>
    <xf numFmtId="165" fontId="19" fillId="9" borderId="34" xfId="0" applyNumberFormat="1" applyFont="1" applyFill="1" applyBorder="1"/>
    <xf numFmtId="0" fontId="6" fillId="0" borderId="25" xfId="0" applyFont="1" applyBorder="1" applyAlignment="1">
      <alignment horizontal="left" indent="6"/>
    </xf>
    <xf numFmtId="165" fontId="18" fillId="0" borderId="26" xfId="0" applyNumberFormat="1" applyFont="1" applyBorder="1"/>
    <xf numFmtId="0" fontId="6" fillId="0" borderId="27" xfId="0" applyFont="1" applyBorder="1" applyAlignment="1">
      <alignment horizontal="left" indent="6"/>
    </xf>
    <xf numFmtId="165" fontId="18" fillId="0" borderId="28" xfId="0" applyNumberFormat="1" applyFont="1" applyBorder="1"/>
    <xf numFmtId="0" fontId="13" fillId="8" borderId="33" xfId="0" applyFont="1" applyFill="1" applyBorder="1" applyAlignment="1">
      <alignment horizontal="left" indent="4"/>
    </xf>
    <xf numFmtId="165" fontId="19" fillId="8" borderId="34" xfId="0" applyNumberFormat="1" applyFont="1" applyFill="1" applyBorder="1"/>
    <xf numFmtId="0" fontId="13" fillId="2" borderId="27" xfId="0" applyFont="1" applyFill="1" applyBorder="1" applyAlignment="1">
      <alignment horizontal="left"/>
    </xf>
    <xf numFmtId="0" fontId="0" fillId="2" borderId="28" xfId="0" applyFill="1" applyBorder="1"/>
    <xf numFmtId="0" fontId="13" fillId="2" borderId="25" xfId="0" applyFont="1" applyFill="1" applyBorder="1"/>
    <xf numFmtId="165" fontId="32" fillId="0" borderId="1" xfId="0" applyNumberFormat="1" applyFont="1" applyBorder="1"/>
    <xf numFmtId="10" fontId="32" fillId="2" borderId="7" xfId="2" applyNumberFormat="1" applyFont="1" applyFill="1" applyBorder="1" applyAlignment="1">
      <alignment horizontal="center"/>
    </xf>
    <xf numFmtId="0" fontId="32" fillId="0" borderId="1" xfId="0" applyFont="1" applyBorder="1"/>
    <xf numFmtId="165" fontId="32" fillId="0" borderId="37" xfId="0" applyNumberFormat="1" applyFont="1" applyBorder="1"/>
    <xf numFmtId="165" fontId="32" fillId="0" borderId="36" xfId="0" applyNumberFormat="1" applyFont="1" applyBorder="1"/>
    <xf numFmtId="0" fontId="34" fillId="2" borderId="3" xfId="0" applyFont="1" applyFill="1" applyBorder="1"/>
    <xf numFmtId="0" fontId="35" fillId="2" borderId="3" xfId="0" applyFont="1" applyFill="1" applyBorder="1"/>
    <xf numFmtId="164" fontId="36" fillId="2" borderId="1" xfId="2" applyNumberFormat="1" applyFont="1" applyFill="1" applyBorder="1"/>
    <xf numFmtId="164" fontId="36" fillId="2" borderId="28" xfId="2" applyNumberFormat="1" applyFont="1" applyFill="1" applyBorder="1"/>
    <xf numFmtId="0" fontId="13" fillId="6" borderId="1" xfId="0" applyFont="1" applyFill="1" applyBorder="1" applyAlignment="1">
      <alignment horizontal="right"/>
    </xf>
    <xf numFmtId="0" fontId="0" fillId="6" borderId="1" xfId="0" applyFill="1" applyBorder="1"/>
    <xf numFmtId="0" fontId="13" fillId="6" borderId="1" xfId="0" applyFont="1" applyFill="1" applyBorder="1" applyAlignment="1">
      <alignment horizontal="left"/>
    </xf>
    <xf numFmtId="0" fontId="29" fillId="6" borderId="25" xfId="0" applyFont="1" applyFill="1" applyBorder="1"/>
    <xf numFmtId="0" fontId="30" fillId="6" borderId="19" xfId="0" applyFont="1" applyFill="1" applyBorder="1"/>
    <xf numFmtId="0" fontId="0" fillId="6" borderId="19" xfId="0" applyFill="1" applyBorder="1"/>
    <xf numFmtId="0" fontId="0" fillId="6" borderId="26" xfId="0" applyFill="1" applyBorder="1"/>
    <xf numFmtId="0" fontId="30" fillId="6" borderId="27" xfId="0" applyFont="1" applyFill="1" applyBorder="1" applyAlignment="1">
      <alignment horizontal="left" indent="2"/>
    </xf>
    <xf numFmtId="0" fontId="31" fillId="6" borderId="1" xfId="0" applyFont="1" applyFill="1" applyBorder="1"/>
    <xf numFmtId="165" fontId="31" fillId="6" borderId="1" xfId="0" applyNumberFormat="1" applyFont="1" applyFill="1" applyBorder="1"/>
    <xf numFmtId="165" fontId="31" fillId="6" borderId="28" xfId="0" applyNumberFormat="1" applyFont="1" applyFill="1" applyBorder="1"/>
    <xf numFmtId="0" fontId="6" fillId="6" borderId="27" xfId="0" applyFont="1" applyFill="1" applyBorder="1" applyAlignment="1">
      <alignment horizontal="left" indent="2"/>
    </xf>
    <xf numFmtId="165" fontId="31" fillId="6" borderId="24" xfId="0" applyNumberFormat="1" applyFont="1" applyFill="1" applyBorder="1"/>
    <xf numFmtId="165" fontId="31" fillId="6" borderId="30" xfId="0" applyNumberFormat="1" applyFont="1" applyFill="1" applyBorder="1"/>
    <xf numFmtId="10" fontId="19" fillId="6" borderId="11" xfId="2" applyNumberFormat="1" applyFont="1" applyFill="1" applyBorder="1" applyAlignment="1">
      <alignment horizontal="center"/>
    </xf>
    <xf numFmtId="10" fontId="19" fillId="6" borderId="1" xfId="2" applyNumberFormat="1" applyFont="1" applyFill="1" applyBorder="1" applyAlignment="1">
      <alignment horizontal="center"/>
    </xf>
    <xf numFmtId="165" fontId="17" fillId="2" borderId="8" xfId="0" applyNumberFormat="1" applyFont="1" applyFill="1" applyBorder="1"/>
    <xf numFmtId="9" fontId="17" fillId="2" borderId="9" xfId="2" applyFont="1" applyFill="1" applyBorder="1"/>
    <xf numFmtId="0" fontId="13" fillId="0" borderId="3" xfId="0" applyFont="1" applyBorder="1" applyAlignment="1">
      <alignment horizontal="right"/>
    </xf>
    <xf numFmtId="164" fontId="32" fillId="0" borderId="38" xfId="0" applyNumberFormat="1" applyFont="1" applyBorder="1" applyAlignment="1">
      <alignment horizontal="center"/>
    </xf>
    <xf numFmtId="0" fontId="13" fillId="0" borderId="6" xfId="0" applyFont="1" applyBorder="1" applyAlignment="1">
      <alignment horizontal="right"/>
    </xf>
    <xf numFmtId="166" fontId="32" fillId="0" borderId="13" xfId="3" applyNumberFormat="1" applyFont="1" applyBorder="1" applyAlignment="1">
      <alignment horizontal="center"/>
    </xf>
    <xf numFmtId="164" fontId="32" fillId="0" borderId="13" xfId="2" applyNumberFormat="1" applyFont="1" applyBorder="1" applyAlignment="1">
      <alignment horizontal="center"/>
    </xf>
    <xf numFmtId="0" fontId="13" fillId="0" borderId="39" xfId="0" applyFont="1" applyBorder="1" applyAlignment="1">
      <alignment horizontal="right"/>
    </xf>
    <xf numFmtId="164" fontId="19" fillId="4" borderId="40" xfId="2" applyNumberFormat="1" applyFont="1" applyFill="1" applyBorder="1" applyAlignment="1">
      <alignment horizontal="center"/>
    </xf>
    <xf numFmtId="0" fontId="8" fillId="2" borderId="27" xfId="0" applyFont="1" applyFill="1" applyBorder="1" applyAlignment="1">
      <alignment horizontal="left" indent="4"/>
    </xf>
    <xf numFmtId="0" fontId="7" fillId="2" borderId="27" xfId="0" applyFont="1" applyFill="1" applyBorder="1" applyAlignment="1">
      <alignment horizontal="left" indent="4"/>
    </xf>
    <xf numFmtId="0" fontId="8" fillId="2" borderId="35" xfId="0" applyFont="1" applyFill="1" applyBorder="1" applyAlignment="1">
      <alignment horizontal="left" indent="4"/>
    </xf>
    <xf numFmtId="0" fontId="13" fillId="2" borderId="29" xfId="0" applyFont="1" applyFill="1" applyBorder="1" applyAlignment="1">
      <alignment horizontal="left" indent="4"/>
    </xf>
    <xf numFmtId="44" fontId="0" fillId="6" borderId="0" xfId="0" applyNumberFormat="1" applyFill="1"/>
    <xf numFmtId="0" fontId="22" fillId="3" borderId="1" xfId="0" applyFont="1" applyFill="1" applyBorder="1" applyAlignment="1">
      <alignment horizontal="center"/>
    </xf>
    <xf numFmtId="0" fontId="22" fillId="3" borderId="7" xfId="0" applyFont="1" applyFill="1" applyBorder="1" applyAlignment="1">
      <alignment horizontal="center"/>
    </xf>
    <xf numFmtId="0" fontId="13" fillId="0" borderId="25" xfId="0" applyFont="1" applyBorder="1" applyAlignment="1">
      <alignment horizontal="left"/>
    </xf>
    <xf numFmtId="0" fontId="10" fillId="0" borderId="19" xfId="0" applyFont="1" applyBorder="1" applyAlignment="1">
      <alignment horizontal="center"/>
    </xf>
    <xf numFmtId="165" fontId="14" fillId="0" borderId="19" xfId="0" applyNumberFormat="1" applyFont="1" applyBorder="1"/>
    <xf numFmtId="165" fontId="14" fillId="0" borderId="26" xfId="0" applyNumberFormat="1" applyFont="1" applyBorder="1"/>
    <xf numFmtId="0" fontId="24" fillId="7" borderId="25" xfId="0" applyFont="1" applyFill="1" applyBorder="1"/>
    <xf numFmtId="0" fontId="23" fillId="7" borderId="19" xfId="0" applyFont="1" applyFill="1" applyBorder="1"/>
    <xf numFmtId="0" fontId="23" fillId="7" borderId="26" xfId="0" applyFont="1" applyFill="1" applyBorder="1"/>
    <xf numFmtId="165" fontId="18" fillId="9" borderId="34" xfId="0" applyNumberFormat="1" applyFont="1" applyFill="1" applyBorder="1"/>
    <xf numFmtId="0" fontId="5" fillId="0" borderId="27" xfId="0" applyFont="1" applyBorder="1" applyAlignment="1">
      <alignment horizontal="left" indent="6"/>
    </xf>
    <xf numFmtId="0" fontId="6" fillId="0" borderId="29" xfId="0" applyFont="1" applyBorder="1" applyAlignment="1">
      <alignment horizontal="left" indent="6"/>
    </xf>
    <xf numFmtId="0" fontId="18" fillId="0" borderId="24" xfId="0" applyFont="1" applyBorder="1"/>
    <xf numFmtId="165" fontId="18" fillId="0" borderId="30" xfId="0" applyNumberFormat="1" applyFont="1" applyBorder="1"/>
    <xf numFmtId="10" fontId="32" fillId="2" borderId="2" xfId="2" applyNumberFormat="1" applyFont="1" applyFill="1" applyBorder="1" applyAlignment="1">
      <alignment horizontal="center"/>
    </xf>
    <xf numFmtId="165" fontId="15" fillId="0" borderId="1" xfId="0" applyNumberFormat="1" applyFont="1" applyBorder="1"/>
    <xf numFmtId="0" fontId="0" fillId="0" borderId="19" xfId="0" applyBorder="1"/>
    <xf numFmtId="0" fontId="0" fillId="0" borderId="26" xfId="0" applyBorder="1"/>
    <xf numFmtId="0" fontId="0" fillId="0" borderId="28" xfId="0" applyBorder="1"/>
    <xf numFmtId="165" fontId="32" fillId="0" borderId="28" xfId="0" applyNumberFormat="1" applyFont="1" applyBorder="1"/>
    <xf numFmtId="0" fontId="0" fillId="0" borderId="12" xfId="0" applyBorder="1"/>
    <xf numFmtId="0" fontId="18" fillId="6" borderId="1" xfId="0" applyFont="1" applyFill="1" applyBorder="1"/>
    <xf numFmtId="165" fontId="18" fillId="6" borderId="1" xfId="0" applyNumberFormat="1" applyFont="1" applyFill="1" applyBorder="1"/>
    <xf numFmtId="0" fontId="6" fillId="6" borderId="1" xfId="0" applyFont="1" applyFill="1" applyBorder="1" applyAlignment="1">
      <alignment horizontal="left" indent="6"/>
    </xf>
    <xf numFmtId="0" fontId="23" fillId="6" borderId="1" xfId="0" applyFont="1" applyFill="1" applyBorder="1"/>
    <xf numFmtId="0" fontId="7" fillId="6" borderId="1" xfId="0" applyFont="1" applyFill="1" applyBorder="1"/>
    <xf numFmtId="0" fontId="0" fillId="10" borderId="41" xfId="0" applyFill="1" applyBorder="1"/>
    <xf numFmtId="0" fontId="0" fillId="10" borderId="42" xfId="0" applyFill="1" applyBorder="1"/>
    <xf numFmtId="0" fontId="0" fillId="10" borderId="43" xfId="0" applyFill="1" applyBorder="1"/>
    <xf numFmtId="0" fontId="23" fillId="10" borderId="45" xfId="0" applyFont="1" applyFill="1" applyBorder="1"/>
    <xf numFmtId="0" fontId="0" fillId="10" borderId="45" xfId="0" applyFill="1" applyBorder="1"/>
    <xf numFmtId="0" fontId="0" fillId="10" borderId="48" xfId="0" applyFill="1" applyBorder="1"/>
    <xf numFmtId="0" fontId="0" fillId="10" borderId="46" xfId="0" applyFill="1" applyBorder="1"/>
    <xf numFmtId="0" fontId="13" fillId="10" borderId="47" xfId="0" applyFont="1" applyFill="1" applyBorder="1" applyAlignment="1">
      <alignment horizontal="left"/>
    </xf>
    <xf numFmtId="0" fontId="0" fillId="10" borderId="47" xfId="0" applyFill="1" applyBorder="1"/>
    <xf numFmtId="0" fontId="23" fillId="10" borderId="44" xfId="0" applyFont="1" applyFill="1" applyBorder="1"/>
    <xf numFmtId="0" fontId="0" fillId="10" borderId="44" xfId="0" applyFill="1" applyBorder="1"/>
    <xf numFmtId="0" fontId="24" fillId="10" borderId="42" xfId="0" applyFont="1" applyFill="1" applyBorder="1"/>
    <xf numFmtId="0" fontId="0" fillId="11" borderId="49" xfId="0" applyFill="1" applyBorder="1"/>
    <xf numFmtId="0" fontId="24" fillId="11" borderId="50" xfId="0" applyFont="1" applyFill="1" applyBorder="1"/>
    <xf numFmtId="0" fontId="0" fillId="11" borderId="50" xfId="0" applyFill="1" applyBorder="1"/>
    <xf numFmtId="0" fontId="0" fillId="11" borderId="51" xfId="0" applyFill="1" applyBorder="1"/>
    <xf numFmtId="0" fontId="0" fillId="11" borderId="52" xfId="0" applyFill="1" applyBorder="1"/>
    <xf numFmtId="0" fontId="0" fillId="11" borderId="53" xfId="0" applyFill="1" applyBorder="1"/>
    <xf numFmtId="0" fontId="0" fillId="11" borderId="54" xfId="0" applyFill="1" applyBorder="1"/>
    <xf numFmtId="0" fontId="13" fillId="11" borderId="55" xfId="0" applyFont="1" applyFill="1" applyBorder="1" applyAlignment="1">
      <alignment horizontal="left"/>
    </xf>
    <xf numFmtId="0" fontId="0" fillId="11" borderId="55" xfId="0" applyFill="1" applyBorder="1"/>
    <xf numFmtId="0" fontId="0" fillId="11" borderId="56" xfId="0" applyFill="1" applyBorder="1"/>
    <xf numFmtId="168" fontId="0" fillId="6" borderId="1" xfId="0" applyNumberFormat="1" applyFill="1" applyBorder="1"/>
    <xf numFmtId="0" fontId="6" fillId="9" borderId="57" xfId="0" applyFont="1" applyFill="1" applyBorder="1" applyAlignment="1">
      <alignment horizontal="left" indent="4"/>
    </xf>
    <xf numFmtId="165" fontId="18" fillId="9" borderId="58" xfId="0" applyNumberFormat="1" applyFont="1" applyFill="1" applyBorder="1"/>
    <xf numFmtId="165" fontId="19" fillId="9" borderId="58" xfId="0" applyNumberFormat="1" applyFont="1" applyFill="1" applyBorder="1"/>
    <xf numFmtId="0" fontId="8" fillId="2" borderId="59" xfId="0" applyFont="1" applyFill="1" applyBorder="1" applyAlignment="1">
      <alignment horizontal="left" indent="4"/>
    </xf>
    <xf numFmtId="165" fontId="18" fillId="0" borderId="60" xfId="0" applyNumberFormat="1" applyFont="1" applyBorder="1"/>
    <xf numFmtId="0" fontId="5" fillId="2" borderId="59" xfId="0" applyFont="1" applyFill="1" applyBorder="1" applyAlignment="1">
      <alignment horizontal="left" indent="4"/>
    </xf>
    <xf numFmtId="165" fontId="15" fillId="0" borderId="61" xfId="0" applyNumberFormat="1" applyFont="1" applyBorder="1"/>
    <xf numFmtId="165" fontId="18" fillId="0" borderId="61" xfId="0" applyNumberFormat="1" applyFont="1" applyBorder="1"/>
    <xf numFmtId="0" fontId="13" fillId="8" borderId="62" xfId="0" applyFont="1" applyFill="1" applyBorder="1" applyAlignment="1">
      <alignment horizontal="left" indent="4"/>
    </xf>
    <xf numFmtId="165" fontId="19" fillId="8" borderId="63" xfId="0" applyNumberFormat="1" applyFont="1" applyFill="1" applyBorder="1"/>
    <xf numFmtId="165" fontId="19" fillId="8" borderId="64" xfId="0" applyNumberFormat="1" applyFont="1" applyFill="1" applyBorder="1"/>
    <xf numFmtId="0" fontId="13" fillId="2" borderId="65" xfId="0" applyFont="1" applyFill="1" applyBorder="1"/>
    <xf numFmtId="0" fontId="0" fillId="0" borderId="66" xfId="0" applyBorder="1"/>
    <xf numFmtId="0" fontId="0" fillId="0" borderId="67" xfId="0" applyBorder="1"/>
    <xf numFmtId="0" fontId="0" fillId="2" borderId="59" xfId="0" applyFill="1" applyBorder="1" applyAlignment="1">
      <alignment horizontal="left" indent="3"/>
    </xf>
    <xf numFmtId="0" fontId="0" fillId="0" borderId="61" xfId="0" applyBorder="1"/>
    <xf numFmtId="0" fontId="6" fillId="2" borderId="59" xfId="0" applyFont="1" applyFill="1" applyBorder="1" applyAlignment="1">
      <alignment horizontal="left" indent="3"/>
    </xf>
    <xf numFmtId="165" fontId="32" fillId="0" borderId="61" xfId="0" applyNumberFormat="1" applyFont="1" applyBorder="1"/>
    <xf numFmtId="0" fontId="8" fillId="2" borderId="68" xfId="0" applyFont="1" applyFill="1" applyBorder="1" applyAlignment="1">
      <alignment horizontal="left" indent="3"/>
    </xf>
    <xf numFmtId="0" fontId="13" fillId="2" borderId="69" xfId="0" applyFont="1" applyFill="1" applyBorder="1" applyAlignment="1">
      <alignment horizontal="left" indent="3"/>
    </xf>
    <xf numFmtId="165" fontId="32" fillId="0" borderId="70" xfId="0" applyNumberFormat="1" applyFont="1" applyBorder="1"/>
    <xf numFmtId="165" fontId="32" fillId="0" borderId="71" xfId="0" applyNumberFormat="1" applyFont="1" applyBorder="1"/>
    <xf numFmtId="9" fontId="39" fillId="6" borderId="0" xfId="2" applyFont="1" applyFill="1"/>
    <xf numFmtId="0" fontId="4" fillId="2" borderId="6" xfId="0" applyFont="1" applyFill="1" applyBorder="1" applyAlignment="1">
      <alignment horizontal="left" indent="3"/>
    </xf>
    <xf numFmtId="0" fontId="41" fillId="6" borderId="1" xfId="4" applyFont="1" applyFill="1" applyAlignment="1">
      <alignment vertical="center" wrapText="1"/>
    </xf>
    <xf numFmtId="0" fontId="42" fillId="6" borderId="1" xfId="4" applyFont="1" applyFill="1" applyAlignment="1">
      <alignment vertical="center" wrapText="1"/>
    </xf>
    <xf numFmtId="49" fontId="46" fillId="13" borderId="1" xfId="5" applyNumberFormat="1" applyFont="1" applyFill="1" applyAlignment="1">
      <alignment horizontal="center" vertical="center"/>
    </xf>
    <xf numFmtId="9" fontId="47" fillId="6" borderId="72" xfId="6" applyFont="1" applyFill="1" applyBorder="1" applyAlignment="1">
      <alignment horizontal="center" vertical="center" wrapText="1"/>
    </xf>
    <xf numFmtId="49" fontId="45" fillId="12" borderId="1" xfId="5" applyNumberFormat="1" applyFont="1" applyFill="1" applyAlignment="1">
      <alignment vertical="center"/>
    </xf>
    <xf numFmtId="49" fontId="45" fillId="6" borderId="1" xfId="5" applyNumberFormat="1" applyFont="1" applyFill="1" applyAlignment="1">
      <alignment vertical="center"/>
    </xf>
    <xf numFmtId="0" fontId="41" fillId="0" borderId="1" xfId="4" applyFont="1" applyAlignment="1">
      <alignment vertical="center" wrapText="1"/>
    </xf>
    <xf numFmtId="0" fontId="41" fillId="6" borderId="0" xfId="0" applyFont="1" applyFill="1" applyAlignment="1">
      <alignment vertical="center" wrapText="1"/>
    </xf>
    <xf numFmtId="169" fontId="41" fillId="6" borderId="0" xfId="0" applyNumberFormat="1" applyFont="1" applyFill="1" applyAlignment="1">
      <alignment horizontal="center" vertical="center" wrapText="1"/>
    </xf>
    <xf numFmtId="0" fontId="42" fillId="6" borderId="0" xfId="0" applyFont="1" applyFill="1" applyAlignment="1">
      <alignment vertical="center" wrapText="1"/>
    </xf>
    <xf numFmtId="0" fontId="42" fillId="6" borderId="25" xfId="0" applyFont="1" applyFill="1" applyBorder="1" applyAlignment="1">
      <alignment vertical="center" wrapText="1"/>
    </xf>
    <xf numFmtId="0" fontId="43" fillId="6" borderId="19" xfId="0" applyFont="1" applyFill="1" applyBorder="1" applyAlignment="1">
      <alignment horizontal="center" vertical="center" wrapText="1"/>
    </xf>
    <xf numFmtId="6" fontId="43" fillId="6" borderId="19" xfId="0" applyNumberFormat="1" applyFont="1" applyFill="1" applyBorder="1" applyAlignment="1">
      <alignment horizontal="center" vertical="center" wrapText="1"/>
    </xf>
    <xf numFmtId="0" fontId="42" fillId="6" borderId="26" xfId="0" applyFont="1" applyFill="1" applyBorder="1" applyAlignment="1">
      <alignment vertical="center" wrapText="1"/>
    </xf>
    <xf numFmtId="0" fontId="42" fillId="6" borderId="27" xfId="0" applyFont="1" applyFill="1" applyBorder="1" applyAlignment="1">
      <alignment vertical="center" wrapText="1"/>
    </xf>
    <xf numFmtId="0" fontId="41" fillId="6" borderId="28" xfId="0" applyFont="1" applyFill="1" applyBorder="1" applyAlignment="1">
      <alignment vertical="center" wrapText="1"/>
    </xf>
    <xf numFmtId="0" fontId="47" fillId="6" borderId="72" xfId="0" applyFont="1" applyFill="1" applyBorder="1" applyAlignment="1">
      <alignment horizontal="left" vertical="center" wrapText="1" indent="1"/>
    </xf>
    <xf numFmtId="0" fontId="47" fillId="6" borderId="72" xfId="0" applyFont="1" applyFill="1" applyBorder="1" applyAlignment="1">
      <alignment horizontal="center" vertical="center" wrapText="1"/>
    </xf>
    <xf numFmtId="6" fontId="47" fillId="6" borderId="72" xfId="0" applyNumberFormat="1" applyFont="1" applyFill="1" applyBorder="1" applyAlignment="1">
      <alignment horizontal="center" vertical="center" wrapText="1"/>
    </xf>
    <xf numFmtId="0" fontId="48" fillId="6" borderId="72" xfId="0" applyFont="1" applyFill="1" applyBorder="1" applyAlignment="1">
      <alignment horizontal="left" vertical="center" wrapText="1" indent="1"/>
    </xf>
    <xf numFmtId="0" fontId="42" fillId="6" borderId="29" xfId="0" applyFont="1" applyFill="1" applyBorder="1" applyAlignment="1">
      <alignment vertical="center" wrapText="1"/>
    </xf>
    <xf numFmtId="0" fontId="41" fillId="6" borderId="24" xfId="0" applyFont="1" applyFill="1" applyBorder="1" applyAlignment="1">
      <alignment vertical="center" wrapText="1"/>
    </xf>
    <xf numFmtId="0" fontId="41" fillId="6" borderId="30" xfId="0" applyFont="1" applyFill="1" applyBorder="1" applyAlignment="1">
      <alignment vertical="center" wrapText="1"/>
    </xf>
    <xf numFmtId="0" fontId="41" fillId="6" borderId="25" xfId="0" applyFont="1" applyFill="1" applyBorder="1" applyAlignment="1">
      <alignment vertical="center" wrapText="1"/>
    </xf>
    <xf numFmtId="0" fontId="41" fillId="6" borderId="19" xfId="0" applyFont="1" applyFill="1" applyBorder="1" applyAlignment="1">
      <alignment vertical="center" wrapText="1"/>
    </xf>
    <xf numFmtId="0" fontId="41" fillId="6" borderId="26" xfId="0" applyFont="1" applyFill="1" applyBorder="1" applyAlignment="1">
      <alignment vertical="center" wrapText="1"/>
    </xf>
    <xf numFmtId="0" fontId="41" fillId="6" borderId="27" xfId="0" applyFont="1" applyFill="1" applyBorder="1" applyAlignment="1">
      <alignment vertical="center" wrapText="1"/>
    </xf>
    <xf numFmtId="0" fontId="41" fillId="6" borderId="0" xfId="0" applyFont="1" applyFill="1" applyAlignment="1">
      <alignment horizontal="left" vertical="center" wrapText="1" indent="7"/>
    </xf>
    <xf numFmtId="0" fontId="41" fillId="6" borderId="29" xfId="0" applyFont="1" applyFill="1" applyBorder="1" applyAlignment="1">
      <alignment vertical="center" wrapText="1"/>
    </xf>
    <xf numFmtId="169" fontId="41" fillId="6" borderId="24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vertical="center" wrapText="1"/>
    </xf>
    <xf numFmtId="169" fontId="41" fillId="0" borderId="0" xfId="0" applyNumberFormat="1" applyFont="1" applyAlignment="1">
      <alignment horizontal="center" vertical="center" wrapText="1"/>
    </xf>
    <xf numFmtId="0" fontId="4" fillId="0" borderId="27" xfId="0" applyFont="1" applyBorder="1" applyAlignment="1">
      <alignment horizontal="left" indent="6"/>
    </xf>
    <xf numFmtId="0" fontId="4" fillId="6" borderId="27" xfId="0" applyFont="1" applyFill="1" applyBorder="1" applyAlignment="1">
      <alignment horizontal="left" indent="2"/>
    </xf>
    <xf numFmtId="0" fontId="13" fillId="6" borderId="73" xfId="0" applyFont="1" applyFill="1" applyBorder="1" applyAlignment="1">
      <alignment horizontal="right"/>
    </xf>
    <xf numFmtId="0" fontId="13" fillId="6" borderId="74" xfId="0" applyFont="1" applyFill="1" applyBorder="1" applyAlignment="1">
      <alignment horizontal="right"/>
    </xf>
    <xf numFmtId="0" fontId="13" fillId="6" borderId="75" xfId="0" applyFont="1" applyFill="1" applyBorder="1" applyAlignment="1">
      <alignment horizontal="right"/>
    </xf>
    <xf numFmtId="0" fontId="4" fillId="6" borderId="29" xfId="0" applyFont="1" applyFill="1" applyBorder="1" applyAlignment="1">
      <alignment horizontal="left" indent="2"/>
    </xf>
    <xf numFmtId="164" fontId="19" fillId="6" borderId="11" xfId="2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left" indent="2"/>
    </xf>
    <xf numFmtId="0" fontId="5" fillId="2" borderId="6" xfId="0" applyFont="1" applyFill="1" applyBorder="1" applyAlignment="1">
      <alignment horizontal="right" indent="3"/>
    </xf>
    <xf numFmtId="0" fontId="5" fillId="2" borderId="8" xfId="0" applyFont="1" applyFill="1" applyBorder="1" applyAlignment="1">
      <alignment horizontal="right" indent="3"/>
    </xf>
    <xf numFmtId="0" fontId="50" fillId="2" borderId="4" xfId="0" applyFont="1" applyFill="1" applyBorder="1" applyAlignment="1">
      <alignment horizontal="center"/>
    </xf>
    <xf numFmtId="0" fontId="50" fillId="2" borderId="5" xfId="0" applyFont="1" applyFill="1" applyBorder="1" applyAlignment="1">
      <alignment horizontal="center"/>
    </xf>
    <xf numFmtId="165" fontId="0" fillId="6" borderId="0" xfId="0" applyNumberFormat="1" applyFill="1"/>
    <xf numFmtId="0" fontId="2" fillId="6" borderId="1" xfId="0" applyFont="1" applyFill="1" applyBorder="1"/>
    <xf numFmtId="49" fontId="46" fillId="13" borderId="1" xfId="5" applyNumberFormat="1" applyFont="1" applyFill="1" applyAlignment="1">
      <alignment horizontal="center" vertical="center" wrapText="1"/>
    </xf>
    <xf numFmtId="164" fontId="16" fillId="2" borderId="1" xfId="2" applyNumberFormat="1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wrapText="1"/>
    </xf>
    <xf numFmtId="0" fontId="13" fillId="2" borderId="18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3" fillId="2" borderId="17" xfId="0" applyFont="1" applyFill="1" applyBorder="1" applyAlignment="1">
      <alignment horizontal="center" wrapText="1"/>
    </xf>
    <xf numFmtId="49" fontId="45" fillId="12" borderId="1" xfId="5" applyNumberFormat="1" applyFont="1" applyFill="1" applyAlignment="1">
      <alignment horizontal="center" vertical="center"/>
    </xf>
    <xf numFmtId="0" fontId="41" fillId="6" borderId="0" xfId="0" applyFont="1" applyFill="1" applyAlignment="1">
      <alignment horizontal="left" vertical="center" wrapText="1" indent="7"/>
    </xf>
    <xf numFmtId="0" fontId="7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26" fillId="0" borderId="6" xfId="0" applyFont="1" applyBorder="1" applyAlignment="1">
      <alignment horizontal="center" vertical="center" textRotation="90" wrapText="1"/>
    </xf>
    <xf numFmtId="0" fontId="26" fillId="0" borderId="8" xfId="0" applyFont="1" applyBorder="1" applyAlignment="1">
      <alignment horizontal="center" vertical="center" textRotation="90" wrapText="1"/>
    </xf>
    <xf numFmtId="0" fontId="26" fillId="0" borderId="22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6" fillId="0" borderId="20" xfId="0" applyFont="1" applyBorder="1" applyAlignment="1">
      <alignment horizontal="center"/>
    </xf>
  </cellXfs>
  <cellStyles count="8">
    <cellStyle name="Comma" xfId="3" builtinId="3"/>
    <cellStyle name="Currency" xfId="1" builtinId="4"/>
    <cellStyle name="Normal" xfId="0" builtinId="0"/>
    <cellStyle name="Normal 2" xfId="4" xr:uid="{12EA2975-1690-4D8D-B5B8-D193A43E476A}"/>
    <cellStyle name="Normal 2 2" xfId="5" xr:uid="{82FB6483-E083-49E8-94E2-D8739F37A596}"/>
    <cellStyle name="Normal 3" xfId="7" xr:uid="{4BED043A-CB74-4DE6-BED2-4439BAA5C7D1}"/>
    <cellStyle name="Percent" xfId="2" builtinId="5"/>
    <cellStyle name="Percent 2" xfId="6" xr:uid="{2704DCC6-D556-4C59-8FE9-0B69692FEB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</xdr:colOff>
      <xdr:row>16</xdr:row>
      <xdr:rowOff>152400</xdr:rowOff>
    </xdr:from>
    <xdr:to>
      <xdr:col>3</xdr:col>
      <xdr:colOff>590550</xdr:colOff>
      <xdr:row>22</xdr:row>
      <xdr:rowOff>108068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7358756-6B42-42DA-9242-EF32564F729E}"/>
            </a:ext>
          </a:extLst>
        </xdr:cNvPr>
        <xdr:cNvGrpSpPr/>
      </xdr:nvGrpSpPr>
      <xdr:grpSpPr>
        <a:xfrm>
          <a:off x="652097" y="3947746"/>
          <a:ext cx="590549" cy="2945053"/>
          <a:chOff x="695326" y="4248150"/>
          <a:chExt cx="735091" cy="2298818"/>
        </a:xfrm>
      </xdr:grpSpPr>
      <xdr:sp macro="" textlink="">
        <xdr:nvSpPr>
          <xdr:cNvPr id="3" name="Freeform: Shape 2">
            <a:extLst>
              <a:ext uri="{FF2B5EF4-FFF2-40B4-BE49-F238E27FC236}">
                <a16:creationId xmlns:a16="http://schemas.microsoft.com/office/drawing/2014/main" id="{327D8482-3C10-28BE-2D76-F0E3E12F2C3B}"/>
              </a:ext>
            </a:extLst>
          </xdr:cNvPr>
          <xdr:cNvSpPr/>
        </xdr:nvSpPr>
        <xdr:spPr>
          <a:xfrm>
            <a:off x="695326" y="4248150"/>
            <a:ext cx="735091" cy="723631"/>
          </a:xfrm>
          <a:custGeom>
            <a:avLst/>
            <a:gdLst>
              <a:gd name="connsiteX0" fmla="*/ 0 w 1050131"/>
              <a:gd name="connsiteY0" fmla="*/ 0 h 735091"/>
              <a:gd name="connsiteX1" fmla="*/ 682586 w 1050131"/>
              <a:gd name="connsiteY1" fmla="*/ 0 h 735091"/>
              <a:gd name="connsiteX2" fmla="*/ 1050131 w 1050131"/>
              <a:gd name="connsiteY2" fmla="*/ 367546 h 735091"/>
              <a:gd name="connsiteX3" fmla="*/ 682586 w 1050131"/>
              <a:gd name="connsiteY3" fmla="*/ 735091 h 735091"/>
              <a:gd name="connsiteX4" fmla="*/ 0 w 1050131"/>
              <a:gd name="connsiteY4" fmla="*/ 735091 h 735091"/>
              <a:gd name="connsiteX5" fmla="*/ 367546 w 1050131"/>
              <a:gd name="connsiteY5" fmla="*/ 367546 h 735091"/>
              <a:gd name="connsiteX6" fmla="*/ 0 w 1050131"/>
              <a:gd name="connsiteY6" fmla="*/ 0 h 7350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050131" h="735091">
                <a:moveTo>
                  <a:pt x="1050130" y="0"/>
                </a:moveTo>
                <a:lnTo>
                  <a:pt x="1050130" y="477810"/>
                </a:lnTo>
                <a:lnTo>
                  <a:pt x="525065" y="735091"/>
                </a:lnTo>
                <a:lnTo>
                  <a:pt x="1" y="477810"/>
                </a:lnTo>
                <a:lnTo>
                  <a:pt x="1" y="0"/>
                </a:lnTo>
                <a:lnTo>
                  <a:pt x="525065" y="257282"/>
                </a:lnTo>
                <a:lnTo>
                  <a:pt x="1050130" y="0"/>
                </a:lnTo>
                <a:close/>
              </a:path>
            </a:pathLst>
          </a:custGeom>
          <a:solidFill>
            <a:srgbClr val="0EB683"/>
          </a:solidFill>
          <a:ln>
            <a:noFill/>
          </a:ln>
        </xdr:spPr>
        <xdr:txBody>
          <a:bodyPr spcFirstLastPara="1" wrap="square" lIns="0" tIns="0" rIns="0" bIns="0" anchor="ctr" anchorCtr="0">
            <a:noAutofit/>
          </a:bodyPr>
          <a:lstStyle/>
          <a:p>
            <a:pPr marL="0" marR="0" lvl="0" indent="0" algn="ctr" defTabSz="889000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buNone/>
            </a:pPr>
            <a:r>
              <a:rPr lang="en-US" sz="1400" b="1" i="0" u="none" strike="noStrike" cap="none">
                <a:solidFill>
                  <a:schemeClr val="bg1"/>
                </a:solidFill>
                <a:latin typeface="Avenir"/>
                <a:ea typeface="Arial"/>
                <a:cs typeface="Arial"/>
                <a:sym typeface="Arial"/>
              </a:rPr>
              <a:t>1</a:t>
            </a:r>
          </a:p>
        </xdr:txBody>
      </xdr:sp>
      <xdr:sp macro="" textlink="">
        <xdr:nvSpPr>
          <xdr:cNvPr id="4" name="Freeform: Shape 3">
            <a:extLst>
              <a:ext uri="{FF2B5EF4-FFF2-40B4-BE49-F238E27FC236}">
                <a16:creationId xmlns:a16="http://schemas.microsoft.com/office/drawing/2014/main" id="{DE72FA89-CBA2-C812-6693-36A713A11CFD}"/>
              </a:ext>
            </a:extLst>
          </xdr:cNvPr>
          <xdr:cNvSpPr/>
        </xdr:nvSpPr>
        <xdr:spPr>
          <a:xfrm>
            <a:off x="695326" y="4768441"/>
            <a:ext cx="735091" cy="723630"/>
          </a:xfrm>
          <a:custGeom>
            <a:avLst/>
            <a:gdLst>
              <a:gd name="connsiteX0" fmla="*/ 0 w 1050131"/>
              <a:gd name="connsiteY0" fmla="*/ 0 h 735091"/>
              <a:gd name="connsiteX1" fmla="*/ 682586 w 1050131"/>
              <a:gd name="connsiteY1" fmla="*/ 0 h 735091"/>
              <a:gd name="connsiteX2" fmla="*/ 1050131 w 1050131"/>
              <a:gd name="connsiteY2" fmla="*/ 367546 h 735091"/>
              <a:gd name="connsiteX3" fmla="*/ 682586 w 1050131"/>
              <a:gd name="connsiteY3" fmla="*/ 735091 h 735091"/>
              <a:gd name="connsiteX4" fmla="*/ 0 w 1050131"/>
              <a:gd name="connsiteY4" fmla="*/ 735091 h 735091"/>
              <a:gd name="connsiteX5" fmla="*/ 367546 w 1050131"/>
              <a:gd name="connsiteY5" fmla="*/ 367546 h 735091"/>
              <a:gd name="connsiteX6" fmla="*/ 0 w 1050131"/>
              <a:gd name="connsiteY6" fmla="*/ 0 h 7350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050131" h="735091">
                <a:moveTo>
                  <a:pt x="1050130" y="0"/>
                </a:moveTo>
                <a:lnTo>
                  <a:pt x="1050130" y="477810"/>
                </a:lnTo>
                <a:lnTo>
                  <a:pt x="525065" y="735091"/>
                </a:lnTo>
                <a:lnTo>
                  <a:pt x="1" y="477810"/>
                </a:lnTo>
                <a:lnTo>
                  <a:pt x="1" y="0"/>
                </a:lnTo>
                <a:lnTo>
                  <a:pt x="525065" y="257282"/>
                </a:lnTo>
                <a:lnTo>
                  <a:pt x="1050130" y="0"/>
                </a:lnTo>
                <a:close/>
              </a:path>
            </a:pathLst>
          </a:custGeom>
          <a:solidFill>
            <a:srgbClr val="0EB683"/>
          </a:solidFill>
          <a:ln>
            <a:noFill/>
          </a:ln>
        </xdr:spPr>
        <xdr:txBody>
          <a:bodyPr spcFirstLastPara="1" wrap="square" lIns="0" tIns="0" rIns="0" bIns="0" anchor="ctr" anchorCtr="0">
            <a:noAutofit/>
          </a:bodyPr>
          <a:lstStyle/>
          <a:p>
            <a:pPr marL="0" marR="0" lvl="0" indent="0" algn="ctr" defTabSz="889000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buNone/>
            </a:pPr>
            <a:r>
              <a:rPr lang="en-US" sz="1400" b="1" i="0" u="none" strike="noStrike" cap="none">
                <a:solidFill>
                  <a:schemeClr val="bg1"/>
                </a:solidFill>
                <a:latin typeface="Avenir"/>
                <a:ea typeface="Arial"/>
                <a:cs typeface="Arial"/>
              </a:rPr>
              <a:t>2</a:t>
            </a:r>
          </a:p>
        </xdr:txBody>
      </xdr:sp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C530F572-EA5A-4FB0-C6D1-BE4B40C6733D}"/>
              </a:ext>
            </a:extLst>
          </xdr:cNvPr>
          <xdr:cNvSpPr/>
        </xdr:nvSpPr>
        <xdr:spPr>
          <a:xfrm>
            <a:off x="695326" y="5298255"/>
            <a:ext cx="735091" cy="723630"/>
          </a:xfrm>
          <a:custGeom>
            <a:avLst/>
            <a:gdLst>
              <a:gd name="connsiteX0" fmla="*/ 0 w 1050131"/>
              <a:gd name="connsiteY0" fmla="*/ 0 h 735091"/>
              <a:gd name="connsiteX1" fmla="*/ 682586 w 1050131"/>
              <a:gd name="connsiteY1" fmla="*/ 0 h 735091"/>
              <a:gd name="connsiteX2" fmla="*/ 1050131 w 1050131"/>
              <a:gd name="connsiteY2" fmla="*/ 367546 h 735091"/>
              <a:gd name="connsiteX3" fmla="*/ 682586 w 1050131"/>
              <a:gd name="connsiteY3" fmla="*/ 735091 h 735091"/>
              <a:gd name="connsiteX4" fmla="*/ 0 w 1050131"/>
              <a:gd name="connsiteY4" fmla="*/ 735091 h 735091"/>
              <a:gd name="connsiteX5" fmla="*/ 367546 w 1050131"/>
              <a:gd name="connsiteY5" fmla="*/ 367546 h 735091"/>
              <a:gd name="connsiteX6" fmla="*/ 0 w 1050131"/>
              <a:gd name="connsiteY6" fmla="*/ 0 h 7350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050131" h="735091">
                <a:moveTo>
                  <a:pt x="1050130" y="0"/>
                </a:moveTo>
                <a:lnTo>
                  <a:pt x="1050130" y="477810"/>
                </a:lnTo>
                <a:lnTo>
                  <a:pt x="525065" y="735091"/>
                </a:lnTo>
                <a:lnTo>
                  <a:pt x="1" y="477810"/>
                </a:lnTo>
                <a:lnTo>
                  <a:pt x="1" y="0"/>
                </a:lnTo>
                <a:lnTo>
                  <a:pt x="525065" y="257282"/>
                </a:lnTo>
                <a:lnTo>
                  <a:pt x="1050130" y="0"/>
                </a:lnTo>
                <a:close/>
              </a:path>
            </a:pathLst>
          </a:custGeom>
          <a:solidFill>
            <a:srgbClr val="0EB683"/>
          </a:solidFill>
          <a:ln>
            <a:noFill/>
          </a:ln>
        </xdr:spPr>
        <xdr:txBody>
          <a:bodyPr spcFirstLastPara="1" wrap="square" lIns="0" tIns="0" rIns="0" bIns="0" anchor="ctr" anchorCtr="0">
            <a:noAutofit/>
          </a:bodyPr>
          <a:lstStyle/>
          <a:p>
            <a:pPr marL="0" marR="0" lvl="0" indent="0" algn="ctr" defTabSz="889000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buNone/>
            </a:pPr>
            <a:r>
              <a:rPr lang="en-US" sz="1400" b="1" i="0" u="none" strike="noStrike" cap="none">
                <a:solidFill>
                  <a:schemeClr val="bg1"/>
                </a:solidFill>
                <a:latin typeface="Avenir"/>
                <a:ea typeface="Arial"/>
                <a:cs typeface="Arial"/>
              </a:rPr>
              <a:t>3</a:t>
            </a:r>
          </a:p>
        </xdr:txBody>
      </xdr:sp>
      <xdr:sp macro="" textlink="">
        <xdr:nvSpPr>
          <xdr:cNvPr id="6" name="Freeform: Shape 5">
            <a:extLst>
              <a:ext uri="{FF2B5EF4-FFF2-40B4-BE49-F238E27FC236}">
                <a16:creationId xmlns:a16="http://schemas.microsoft.com/office/drawing/2014/main" id="{302ECE83-2343-49ED-01B7-9C7D0458D09C}"/>
              </a:ext>
            </a:extLst>
          </xdr:cNvPr>
          <xdr:cNvSpPr/>
        </xdr:nvSpPr>
        <xdr:spPr>
          <a:xfrm>
            <a:off x="695326" y="5823338"/>
            <a:ext cx="735091" cy="723630"/>
          </a:xfrm>
          <a:custGeom>
            <a:avLst/>
            <a:gdLst>
              <a:gd name="connsiteX0" fmla="*/ 0 w 1050131"/>
              <a:gd name="connsiteY0" fmla="*/ 0 h 735091"/>
              <a:gd name="connsiteX1" fmla="*/ 682586 w 1050131"/>
              <a:gd name="connsiteY1" fmla="*/ 0 h 735091"/>
              <a:gd name="connsiteX2" fmla="*/ 1050131 w 1050131"/>
              <a:gd name="connsiteY2" fmla="*/ 367546 h 735091"/>
              <a:gd name="connsiteX3" fmla="*/ 682586 w 1050131"/>
              <a:gd name="connsiteY3" fmla="*/ 735091 h 735091"/>
              <a:gd name="connsiteX4" fmla="*/ 0 w 1050131"/>
              <a:gd name="connsiteY4" fmla="*/ 735091 h 735091"/>
              <a:gd name="connsiteX5" fmla="*/ 367546 w 1050131"/>
              <a:gd name="connsiteY5" fmla="*/ 367546 h 735091"/>
              <a:gd name="connsiteX6" fmla="*/ 0 w 1050131"/>
              <a:gd name="connsiteY6" fmla="*/ 0 h 7350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050131" h="735091">
                <a:moveTo>
                  <a:pt x="1050130" y="0"/>
                </a:moveTo>
                <a:lnTo>
                  <a:pt x="1050130" y="477810"/>
                </a:lnTo>
                <a:lnTo>
                  <a:pt x="525065" y="735091"/>
                </a:lnTo>
                <a:lnTo>
                  <a:pt x="1" y="477810"/>
                </a:lnTo>
                <a:lnTo>
                  <a:pt x="1" y="0"/>
                </a:lnTo>
                <a:lnTo>
                  <a:pt x="525065" y="257282"/>
                </a:lnTo>
                <a:lnTo>
                  <a:pt x="1050130" y="0"/>
                </a:lnTo>
                <a:close/>
              </a:path>
            </a:pathLst>
          </a:custGeom>
          <a:solidFill>
            <a:srgbClr val="0EB683"/>
          </a:solidFill>
          <a:ln>
            <a:noFill/>
          </a:ln>
        </xdr:spPr>
        <xdr:txBody>
          <a:bodyPr spcFirstLastPara="1" wrap="square" lIns="0" tIns="0" rIns="0" bIns="0" anchor="ctr" anchorCtr="0">
            <a:noAutofit/>
          </a:bodyPr>
          <a:lstStyle/>
          <a:p>
            <a:pPr marL="0" marR="0" lvl="0" indent="0" algn="ctr" defTabSz="889000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buNone/>
            </a:pPr>
            <a:r>
              <a:rPr lang="en-US" sz="1400" b="1" i="0" u="none" strike="noStrike" cap="none">
                <a:solidFill>
                  <a:schemeClr val="bg1"/>
                </a:solidFill>
                <a:latin typeface="Avenir"/>
                <a:ea typeface="Arial"/>
                <a:cs typeface="Arial"/>
              </a:rPr>
              <a:t>4</a:t>
            </a:r>
          </a:p>
        </xdr:txBody>
      </xdr:sp>
    </xdr:grpSp>
    <xdr:clientData/>
  </xdr:twoCellAnchor>
  <xdr:twoCellAnchor>
    <xdr:from>
      <xdr:col>5</xdr:col>
      <xdr:colOff>9526</xdr:colOff>
      <xdr:row>16</xdr:row>
      <xdr:rowOff>152400</xdr:rowOff>
    </xdr:from>
    <xdr:to>
      <xdr:col>5</xdr:col>
      <xdr:colOff>600075</xdr:colOff>
      <xdr:row>22</xdr:row>
      <xdr:rowOff>108068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5966CAF1-E4BF-45D8-A701-4BC842630E06}"/>
            </a:ext>
          </a:extLst>
        </xdr:cNvPr>
        <xdr:cNvGrpSpPr/>
      </xdr:nvGrpSpPr>
      <xdr:grpSpPr>
        <a:xfrm>
          <a:off x="3738930" y="3947746"/>
          <a:ext cx="590549" cy="2945053"/>
          <a:chOff x="695326" y="4248150"/>
          <a:chExt cx="735091" cy="2298818"/>
        </a:xfrm>
      </xdr:grpSpPr>
      <xdr:sp macro="" textlink="">
        <xdr:nvSpPr>
          <xdr:cNvPr id="8" name="Freeform: Shape 7">
            <a:extLst>
              <a:ext uri="{FF2B5EF4-FFF2-40B4-BE49-F238E27FC236}">
                <a16:creationId xmlns:a16="http://schemas.microsoft.com/office/drawing/2014/main" id="{41833B9C-A0DE-EEE1-0F15-E1E75FD8812C}"/>
              </a:ext>
            </a:extLst>
          </xdr:cNvPr>
          <xdr:cNvSpPr/>
        </xdr:nvSpPr>
        <xdr:spPr>
          <a:xfrm>
            <a:off x="695326" y="4248150"/>
            <a:ext cx="735091" cy="723631"/>
          </a:xfrm>
          <a:custGeom>
            <a:avLst/>
            <a:gdLst>
              <a:gd name="connsiteX0" fmla="*/ 0 w 1050131"/>
              <a:gd name="connsiteY0" fmla="*/ 0 h 735091"/>
              <a:gd name="connsiteX1" fmla="*/ 682586 w 1050131"/>
              <a:gd name="connsiteY1" fmla="*/ 0 h 735091"/>
              <a:gd name="connsiteX2" fmla="*/ 1050131 w 1050131"/>
              <a:gd name="connsiteY2" fmla="*/ 367546 h 735091"/>
              <a:gd name="connsiteX3" fmla="*/ 682586 w 1050131"/>
              <a:gd name="connsiteY3" fmla="*/ 735091 h 735091"/>
              <a:gd name="connsiteX4" fmla="*/ 0 w 1050131"/>
              <a:gd name="connsiteY4" fmla="*/ 735091 h 735091"/>
              <a:gd name="connsiteX5" fmla="*/ 367546 w 1050131"/>
              <a:gd name="connsiteY5" fmla="*/ 367546 h 735091"/>
              <a:gd name="connsiteX6" fmla="*/ 0 w 1050131"/>
              <a:gd name="connsiteY6" fmla="*/ 0 h 7350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050131" h="735091">
                <a:moveTo>
                  <a:pt x="1050130" y="0"/>
                </a:moveTo>
                <a:lnTo>
                  <a:pt x="1050130" y="477810"/>
                </a:lnTo>
                <a:lnTo>
                  <a:pt x="525065" y="735091"/>
                </a:lnTo>
                <a:lnTo>
                  <a:pt x="1" y="477810"/>
                </a:lnTo>
                <a:lnTo>
                  <a:pt x="1" y="0"/>
                </a:lnTo>
                <a:lnTo>
                  <a:pt x="525065" y="257282"/>
                </a:lnTo>
                <a:lnTo>
                  <a:pt x="1050130" y="0"/>
                </a:lnTo>
                <a:close/>
              </a:path>
            </a:pathLst>
          </a:custGeom>
          <a:solidFill>
            <a:srgbClr val="0EB683"/>
          </a:solidFill>
          <a:ln>
            <a:noFill/>
          </a:ln>
        </xdr:spPr>
        <xdr:txBody>
          <a:bodyPr spcFirstLastPara="1" wrap="square" lIns="0" tIns="0" rIns="0" bIns="0" anchor="ctr" anchorCtr="0">
            <a:noAutofit/>
          </a:bodyPr>
          <a:lstStyle/>
          <a:p>
            <a:pPr marL="0" marR="0" lvl="0" indent="0" algn="ctr" defTabSz="889000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buNone/>
            </a:pPr>
            <a:r>
              <a:rPr lang="en-US" sz="1400" b="1" i="0" u="none" strike="noStrike" cap="none">
                <a:solidFill>
                  <a:schemeClr val="bg1"/>
                </a:solidFill>
                <a:latin typeface="Avenir"/>
                <a:ea typeface="Arial"/>
                <a:cs typeface="Arial"/>
                <a:sym typeface="Arial"/>
              </a:rPr>
              <a:t>1</a:t>
            </a:r>
          </a:p>
        </xdr:txBody>
      </xdr:sp>
      <xdr:sp macro="" textlink="">
        <xdr:nvSpPr>
          <xdr:cNvPr id="9" name="Freeform: Shape 8">
            <a:extLst>
              <a:ext uri="{FF2B5EF4-FFF2-40B4-BE49-F238E27FC236}">
                <a16:creationId xmlns:a16="http://schemas.microsoft.com/office/drawing/2014/main" id="{AF4D6039-2D79-EDEA-6ECB-16E0B4F32DBF}"/>
              </a:ext>
            </a:extLst>
          </xdr:cNvPr>
          <xdr:cNvSpPr/>
        </xdr:nvSpPr>
        <xdr:spPr>
          <a:xfrm>
            <a:off x="695326" y="4768441"/>
            <a:ext cx="735091" cy="723630"/>
          </a:xfrm>
          <a:custGeom>
            <a:avLst/>
            <a:gdLst>
              <a:gd name="connsiteX0" fmla="*/ 0 w 1050131"/>
              <a:gd name="connsiteY0" fmla="*/ 0 h 735091"/>
              <a:gd name="connsiteX1" fmla="*/ 682586 w 1050131"/>
              <a:gd name="connsiteY1" fmla="*/ 0 h 735091"/>
              <a:gd name="connsiteX2" fmla="*/ 1050131 w 1050131"/>
              <a:gd name="connsiteY2" fmla="*/ 367546 h 735091"/>
              <a:gd name="connsiteX3" fmla="*/ 682586 w 1050131"/>
              <a:gd name="connsiteY3" fmla="*/ 735091 h 735091"/>
              <a:gd name="connsiteX4" fmla="*/ 0 w 1050131"/>
              <a:gd name="connsiteY4" fmla="*/ 735091 h 735091"/>
              <a:gd name="connsiteX5" fmla="*/ 367546 w 1050131"/>
              <a:gd name="connsiteY5" fmla="*/ 367546 h 735091"/>
              <a:gd name="connsiteX6" fmla="*/ 0 w 1050131"/>
              <a:gd name="connsiteY6" fmla="*/ 0 h 7350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050131" h="735091">
                <a:moveTo>
                  <a:pt x="1050130" y="0"/>
                </a:moveTo>
                <a:lnTo>
                  <a:pt x="1050130" y="477810"/>
                </a:lnTo>
                <a:lnTo>
                  <a:pt x="525065" y="735091"/>
                </a:lnTo>
                <a:lnTo>
                  <a:pt x="1" y="477810"/>
                </a:lnTo>
                <a:lnTo>
                  <a:pt x="1" y="0"/>
                </a:lnTo>
                <a:lnTo>
                  <a:pt x="525065" y="257282"/>
                </a:lnTo>
                <a:lnTo>
                  <a:pt x="1050130" y="0"/>
                </a:lnTo>
                <a:close/>
              </a:path>
            </a:pathLst>
          </a:custGeom>
          <a:solidFill>
            <a:srgbClr val="0EB683"/>
          </a:solidFill>
          <a:ln>
            <a:noFill/>
          </a:ln>
        </xdr:spPr>
        <xdr:txBody>
          <a:bodyPr spcFirstLastPara="1" wrap="square" lIns="0" tIns="0" rIns="0" bIns="0" anchor="ctr" anchorCtr="0">
            <a:noAutofit/>
          </a:bodyPr>
          <a:lstStyle/>
          <a:p>
            <a:pPr marL="0" marR="0" lvl="0" indent="0" algn="ctr" defTabSz="889000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buNone/>
            </a:pPr>
            <a:r>
              <a:rPr lang="en-US" sz="1400" b="1" i="0" u="none" strike="noStrike" cap="none">
                <a:solidFill>
                  <a:schemeClr val="bg1"/>
                </a:solidFill>
                <a:latin typeface="Avenir"/>
                <a:ea typeface="Arial"/>
                <a:cs typeface="Arial"/>
              </a:rPr>
              <a:t>2</a:t>
            </a:r>
          </a:p>
        </xdr:txBody>
      </xdr:sp>
      <xdr:sp macro="" textlink="">
        <xdr:nvSpPr>
          <xdr:cNvPr id="10" name="Freeform: Shape 9">
            <a:extLst>
              <a:ext uri="{FF2B5EF4-FFF2-40B4-BE49-F238E27FC236}">
                <a16:creationId xmlns:a16="http://schemas.microsoft.com/office/drawing/2014/main" id="{44D009F4-0B6E-9F3E-8992-D2BBD43DC3F7}"/>
              </a:ext>
            </a:extLst>
          </xdr:cNvPr>
          <xdr:cNvSpPr/>
        </xdr:nvSpPr>
        <xdr:spPr>
          <a:xfrm>
            <a:off x="695326" y="5298255"/>
            <a:ext cx="735091" cy="723630"/>
          </a:xfrm>
          <a:custGeom>
            <a:avLst/>
            <a:gdLst>
              <a:gd name="connsiteX0" fmla="*/ 0 w 1050131"/>
              <a:gd name="connsiteY0" fmla="*/ 0 h 735091"/>
              <a:gd name="connsiteX1" fmla="*/ 682586 w 1050131"/>
              <a:gd name="connsiteY1" fmla="*/ 0 h 735091"/>
              <a:gd name="connsiteX2" fmla="*/ 1050131 w 1050131"/>
              <a:gd name="connsiteY2" fmla="*/ 367546 h 735091"/>
              <a:gd name="connsiteX3" fmla="*/ 682586 w 1050131"/>
              <a:gd name="connsiteY3" fmla="*/ 735091 h 735091"/>
              <a:gd name="connsiteX4" fmla="*/ 0 w 1050131"/>
              <a:gd name="connsiteY4" fmla="*/ 735091 h 735091"/>
              <a:gd name="connsiteX5" fmla="*/ 367546 w 1050131"/>
              <a:gd name="connsiteY5" fmla="*/ 367546 h 735091"/>
              <a:gd name="connsiteX6" fmla="*/ 0 w 1050131"/>
              <a:gd name="connsiteY6" fmla="*/ 0 h 7350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050131" h="735091">
                <a:moveTo>
                  <a:pt x="1050130" y="0"/>
                </a:moveTo>
                <a:lnTo>
                  <a:pt x="1050130" y="477810"/>
                </a:lnTo>
                <a:lnTo>
                  <a:pt x="525065" y="735091"/>
                </a:lnTo>
                <a:lnTo>
                  <a:pt x="1" y="477810"/>
                </a:lnTo>
                <a:lnTo>
                  <a:pt x="1" y="0"/>
                </a:lnTo>
                <a:lnTo>
                  <a:pt x="525065" y="257282"/>
                </a:lnTo>
                <a:lnTo>
                  <a:pt x="1050130" y="0"/>
                </a:lnTo>
                <a:close/>
              </a:path>
            </a:pathLst>
          </a:custGeom>
          <a:solidFill>
            <a:srgbClr val="0EB683"/>
          </a:solidFill>
          <a:ln>
            <a:noFill/>
          </a:ln>
        </xdr:spPr>
        <xdr:txBody>
          <a:bodyPr spcFirstLastPara="1" wrap="square" lIns="0" tIns="0" rIns="0" bIns="0" anchor="ctr" anchorCtr="0">
            <a:noAutofit/>
          </a:bodyPr>
          <a:lstStyle/>
          <a:p>
            <a:pPr marL="0" marR="0" lvl="0" indent="0" algn="ctr" defTabSz="889000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buNone/>
            </a:pPr>
            <a:r>
              <a:rPr lang="en-US" sz="1400" b="1" i="0" u="none" strike="noStrike" cap="none">
                <a:solidFill>
                  <a:schemeClr val="bg1"/>
                </a:solidFill>
                <a:latin typeface="Avenir"/>
                <a:ea typeface="Arial"/>
                <a:cs typeface="Arial"/>
              </a:rPr>
              <a:t>3</a:t>
            </a:r>
          </a:p>
        </xdr:txBody>
      </xdr:sp>
      <xdr:sp macro="" textlink="">
        <xdr:nvSpPr>
          <xdr:cNvPr id="11" name="Freeform: Shape 10">
            <a:extLst>
              <a:ext uri="{FF2B5EF4-FFF2-40B4-BE49-F238E27FC236}">
                <a16:creationId xmlns:a16="http://schemas.microsoft.com/office/drawing/2014/main" id="{A022D74E-E555-3D56-E50E-C87F67BD33C7}"/>
              </a:ext>
            </a:extLst>
          </xdr:cNvPr>
          <xdr:cNvSpPr/>
        </xdr:nvSpPr>
        <xdr:spPr>
          <a:xfrm>
            <a:off x="695326" y="5823338"/>
            <a:ext cx="735091" cy="723630"/>
          </a:xfrm>
          <a:custGeom>
            <a:avLst/>
            <a:gdLst>
              <a:gd name="connsiteX0" fmla="*/ 0 w 1050131"/>
              <a:gd name="connsiteY0" fmla="*/ 0 h 735091"/>
              <a:gd name="connsiteX1" fmla="*/ 682586 w 1050131"/>
              <a:gd name="connsiteY1" fmla="*/ 0 h 735091"/>
              <a:gd name="connsiteX2" fmla="*/ 1050131 w 1050131"/>
              <a:gd name="connsiteY2" fmla="*/ 367546 h 735091"/>
              <a:gd name="connsiteX3" fmla="*/ 682586 w 1050131"/>
              <a:gd name="connsiteY3" fmla="*/ 735091 h 735091"/>
              <a:gd name="connsiteX4" fmla="*/ 0 w 1050131"/>
              <a:gd name="connsiteY4" fmla="*/ 735091 h 735091"/>
              <a:gd name="connsiteX5" fmla="*/ 367546 w 1050131"/>
              <a:gd name="connsiteY5" fmla="*/ 367546 h 735091"/>
              <a:gd name="connsiteX6" fmla="*/ 0 w 1050131"/>
              <a:gd name="connsiteY6" fmla="*/ 0 h 7350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050131" h="735091">
                <a:moveTo>
                  <a:pt x="1050130" y="0"/>
                </a:moveTo>
                <a:lnTo>
                  <a:pt x="1050130" y="477810"/>
                </a:lnTo>
                <a:lnTo>
                  <a:pt x="525065" y="735091"/>
                </a:lnTo>
                <a:lnTo>
                  <a:pt x="1" y="477810"/>
                </a:lnTo>
                <a:lnTo>
                  <a:pt x="1" y="0"/>
                </a:lnTo>
                <a:lnTo>
                  <a:pt x="525065" y="257282"/>
                </a:lnTo>
                <a:lnTo>
                  <a:pt x="1050130" y="0"/>
                </a:lnTo>
                <a:close/>
              </a:path>
            </a:pathLst>
          </a:custGeom>
          <a:solidFill>
            <a:srgbClr val="0EB683"/>
          </a:solidFill>
          <a:ln>
            <a:noFill/>
          </a:ln>
        </xdr:spPr>
        <xdr:txBody>
          <a:bodyPr spcFirstLastPara="1" wrap="square" lIns="0" tIns="0" rIns="0" bIns="0" anchor="ctr" anchorCtr="0">
            <a:noAutofit/>
          </a:bodyPr>
          <a:lstStyle/>
          <a:p>
            <a:pPr marL="0" marR="0" lvl="0" indent="0" algn="ctr" defTabSz="889000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buNone/>
            </a:pPr>
            <a:r>
              <a:rPr lang="en-US" sz="1400" b="1" i="0" u="none" strike="noStrike" cap="none">
                <a:solidFill>
                  <a:schemeClr val="bg1"/>
                </a:solidFill>
                <a:latin typeface="Avenir"/>
                <a:ea typeface="Arial"/>
                <a:cs typeface="Arial"/>
              </a:rPr>
              <a:t>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C4AA7-8A3E-478F-848B-3AE5145BD311}">
  <dimension ref="A1:P29"/>
  <sheetViews>
    <sheetView tabSelected="1" zoomScale="130" zoomScaleNormal="130" workbookViewId="0">
      <selection activeCell="K9" sqref="K9"/>
    </sheetView>
  </sheetViews>
  <sheetFormatPr defaultColWidth="38.85546875" defaultRowHeight="12.75"/>
  <cols>
    <col min="1" max="2" width="3.28515625" style="202" customWidth="1"/>
    <col min="3" max="3" width="3.140625" style="225" customWidth="1"/>
    <col min="4" max="4" width="42.7109375" style="225" customWidth="1"/>
    <col min="5" max="5" width="3.42578125" style="225" customWidth="1"/>
    <col min="6" max="6" width="21.7109375" style="225" customWidth="1"/>
    <col min="7" max="7" width="21.7109375" style="226" customWidth="1"/>
    <col min="8" max="10" width="3.28515625" style="202" customWidth="1"/>
    <col min="11" max="16" width="38.85546875" style="195"/>
    <col min="17" max="16384" width="38.85546875" style="201"/>
  </cols>
  <sheetData>
    <row r="1" spans="1:10">
      <c r="C1" s="202"/>
      <c r="D1" s="202"/>
      <c r="E1" s="202"/>
      <c r="F1" s="202"/>
      <c r="G1" s="203"/>
    </row>
    <row r="2" spans="1:10">
      <c r="C2" s="202"/>
      <c r="D2" s="202"/>
      <c r="E2" s="202"/>
      <c r="F2" s="202"/>
      <c r="G2" s="203"/>
    </row>
    <row r="3" spans="1:10" s="196" customFormat="1" ht="15">
      <c r="A3" s="204"/>
      <c r="B3" s="204"/>
      <c r="C3" s="205"/>
      <c r="D3" s="206"/>
      <c r="E3" s="206"/>
      <c r="F3" s="206"/>
      <c r="G3" s="207"/>
      <c r="H3" s="208"/>
      <c r="I3" s="204"/>
      <c r="J3" s="204"/>
    </row>
    <row r="4" spans="1:10" ht="24" customHeight="1">
      <c r="C4" s="209"/>
      <c r="D4" s="249" t="s">
        <v>67</v>
      </c>
      <c r="E4" s="249"/>
      <c r="F4" s="249"/>
      <c r="G4" s="249"/>
      <c r="H4" s="210"/>
    </row>
    <row r="5" spans="1:10" ht="24" customHeight="1">
      <c r="C5" s="209"/>
      <c r="D5" s="197" t="s">
        <v>68</v>
      </c>
      <c r="E5" s="197"/>
      <c r="F5" s="241" t="s">
        <v>106</v>
      </c>
      <c r="G5" s="241" t="s">
        <v>107</v>
      </c>
      <c r="H5" s="210"/>
    </row>
    <row r="6" spans="1:10" ht="24" customHeight="1">
      <c r="C6" s="209"/>
      <c r="D6" s="211" t="s">
        <v>69</v>
      </c>
      <c r="E6" s="211"/>
      <c r="F6" s="212" t="s">
        <v>70</v>
      </c>
      <c r="G6" s="213" t="s">
        <v>71</v>
      </c>
      <c r="H6" s="210"/>
    </row>
    <row r="7" spans="1:10" ht="24" customHeight="1">
      <c r="C7" s="209"/>
      <c r="D7" s="214" t="s">
        <v>72</v>
      </c>
      <c r="E7" s="211"/>
      <c r="F7" s="198">
        <v>0.17</v>
      </c>
      <c r="G7" s="198">
        <v>0.18264330569884746</v>
      </c>
      <c r="H7" s="210"/>
    </row>
    <row r="8" spans="1:10" ht="24" customHeight="1">
      <c r="C8" s="209"/>
      <c r="D8" s="214" t="s">
        <v>73</v>
      </c>
      <c r="E8" s="211"/>
      <c r="F8" s="198">
        <v>0.32</v>
      </c>
      <c r="G8" s="198">
        <v>0.38</v>
      </c>
      <c r="H8" s="210"/>
    </row>
    <row r="9" spans="1:10" ht="24" customHeight="1">
      <c r="C9" s="209"/>
      <c r="D9" s="211" t="s">
        <v>74</v>
      </c>
      <c r="E9" s="211"/>
      <c r="F9" s="198">
        <v>0.19500000000000001</v>
      </c>
      <c r="G9" s="198">
        <v>0.21</v>
      </c>
      <c r="H9" s="210"/>
    </row>
    <row r="10" spans="1:10" ht="24" customHeight="1">
      <c r="C10" s="209"/>
      <c r="D10" s="211" t="s">
        <v>75</v>
      </c>
      <c r="E10" s="211"/>
      <c r="F10" s="212" t="s">
        <v>76</v>
      </c>
      <c r="G10" s="212" t="s">
        <v>77</v>
      </c>
      <c r="H10" s="210"/>
    </row>
    <row r="11" spans="1:10" ht="24" hidden="1" customHeight="1">
      <c r="C11" s="209"/>
      <c r="D11" s="211" t="s">
        <v>99</v>
      </c>
      <c r="E11" s="211"/>
      <c r="F11" s="198">
        <v>0.19356212504460557</v>
      </c>
      <c r="G11" s="198">
        <f>F11</f>
        <v>0.19356212504460557</v>
      </c>
      <c r="H11" s="210"/>
    </row>
    <row r="12" spans="1:10" ht="24" customHeight="1">
      <c r="C12" s="209"/>
      <c r="D12" s="211" t="s">
        <v>78</v>
      </c>
      <c r="E12" s="211"/>
      <c r="F12" s="198">
        <v>0.08</v>
      </c>
      <c r="G12" s="198">
        <v>0.08</v>
      </c>
      <c r="H12" s="210"/>
    </row>
    <row r="13" spans="1:10">
      <c r="C13" s="215"/>
      <c r="D13" s="216"/>
      <c r="E13" s="216"/>
      <c r="F13" s="216"/>
      <c r="G13" s="216"/>
      <c r="H13" s="217"/>
    </row>
    <row r="14" spans="1:10">
      <c r="C14" s="202"/>
      <c r="D14" s="202"/>
      <c r="E14" s="202"/>
      <c r="F14" s="202"/>
      <c r="G14" s="202"/>
    </row>
    <row r="15" spans="1:10" s="195" customFormat="1" ht="15" customHeight="1">
      <c r="A15" s="202"/>
      <c r="B15" s="202"/>
      <c r="C15" s="218"/>
      <c r="D15" s="219"/>
      <c r="E15" s="219"/>
      <c r="F15" s="219"/>
      <c r="G15" s="219"/>
      <c r="H15" s="220"/>
      <c r="I15" s="202"/>
      <c r="J15" s="202"/>
    </row>
    <row r="16" spans="1:10" ht="24" customHeight="1">
      <c r="C16" s="209"/>
      <c r="D16" s="199" t="s">
        <v>104</v>
      </c>
      <c r="E16" s="200"/>
      <c r="F16" s="199" t="s">
        <v>105</v>
      </c>
      <c r="G16" s="199"/>
      <c r="H16" s="210"/>
    </row>
    <row r="17" spans="1:10" s="195" customFormat="1">
      <c r="A17" s="202"/>
      <c r="B17" s="202"/>
      <c r="C17" s="221"/>
      <c r="D17" s="202"/>
      <c r="E17" s="202"/>
      <c r="F17" s="202"/>
      <c r="G17" s="202"/>
      <c r="H17" s="210"/>
      <c r="I17" s="202"/>
      <c r="J17" s="202"/>
    </row>
    <row r="18" spans="1:10" s="195" customFormat="1" ht="52.5" customHeight="1">
      <c r="A18" s="202"/>
      <c r="B18" s="202"/>
      <c r="C18" s="221"/>
      <c r="D18" s="222" t="s">
        <v>79</v>
      </c>
      <c r="E18" s="202"/>
      <c r="F18" s="250" t="s">
        <v>80</v>
      </c>
      <c r="G18" s="250"/>
      <c r="H18" s="210"/>
      <c r="I18" s="202"/>
      <c r="J18" s="202"/>
    </row>
    <row r="19" spans="1:10" s="195" customFormat="1" ht="52.5" customHeight="1">
      <c r="A19" s="202"/>
      <c r="B19" s="202"/>
      <c r="C19" s="221"/>
      <c r="D19" s="222" t="s">
        <v>81</v>
      </c>
      <c r="E19" s="202"/>
      <c r="F19" s="250" t="s">
        <v>82</v>
      </c>
      <c r="G19" s="250"/>
      <c r="H19" s="210"/>
      <c r="I19" s="202"/>
      <c r="J19" s="202"/>
    </row>
    <row r="20" spans="1:10" s="195" customFormat="1" ht="52.5" customHeight="1">
      <c r="A20" s="202"/>
      <c r="B20" s="202"/>
      <c r="C20" s="221"/>
      <c r="D20" s="222" t="s">
        <v>83</v>
      </c>
      <c r="E20" s="202"/>
      <c r="F20" s="250" t="s">
        <v>84</v>
      </c>
      <c r="G20" s="250"/>
      <c r="H20" s="210"/>
      <c r="I20" s="202"/>
      <c r="J20" s="202"/>
    </row>
    <row r="21" spans="1:10" s="195" customFormat="1" ht="52.5" customHeight="1">
      <c r="A21" s="202"/>
      <c r="B21" s="202"/>
      <c r="C21" s="221"/>
      <c r="D21" s="222" t="s">
        <v>85</v>
      </c>
      <c r="E21" s="202"/>
      <c r="F21" s="250" t="s">
        <v>86</v>
      </c>
      <c r="G21" s="250"/>
      <c r="H21" s="210"/>
      <c r="I21" s="202"/>
      <c r="J21" s="202"/>
    </row>
    <row r="22" spans="1:10" s="195" customFormat="1">
      <c r="A22" s="202"/>
      <c r="B22" s="202"/>
      <c r="C22" s="221"/>
      <c r="D22" s="202"/>
      <c r="E22" s="202"/>
      <c r="F22" s="202"/>
      <c r="G22" s="202"/>
      <c r="H22" s="210"/>
      <c r="I22" s="202"/>
      <c r="J22" s="202"/>
    </row>
    <row r="23" spans="1:10" s="195" customFormat="1" ht="19.5" customHeight="1">
      <c r="A23" s="202"/>
      <c r="B23" s="202"/>
      <c r="C23" s="223"/>
      <c r="D23" s="216"/>
      <c r="E23" s="216"/>
      <c r="F23" s="216"/>
      <c r="G23" s="224"/>
      <c r="H23" s="217"/>
      <c r="I23" s="202"/>
      <c r="J23" s="202"/>
    </row>
    <row r="24" spans="1:10" s="195" customFormat="1">
      <c r="A24" s="202"/>
      <c r="B24" s="202"/>
      <c r="C24" s="202"/>
      <c r="D24" s="202"/>
      <c r="E24" s="202"/>
      <c r="F24" s="202"/>
      <c r="G24" s="203"/>
      <c r="H24" s="202"/>
      <c r="I24" s="202"/>
      <c r="J24" s="202"/>
    </row>
    <row r="25" spans="1:10" s="195" customFormat="1">
      <c r="A25" s="202"/>
      <c r="B25" s="202"/>
      <c r="C25" s="202"/>
      <c r="D25" s="202"/>
      <c r="E25" s="202"/>
      <c r="F25" s="202"/>
      <c r="G25" s="203"/>
      <c r="H25" s="202"/>
      <c r="I25" s="202"/>
      <c r="J25" s="202"/>
    </row>
    <row r="26" spans="1:10" s="195" customFormat="1">
      <c r="A26" s="202"/>
      <c r="B26" s="202"/>
      <c r="C26" s="202"/>
      <c r="D26" s="202"/>
      <c r="E26" s="202"/>
      <c r="F26" s="202"/>
      <c r="G26" s="203"/>
      <c r="H26" s="202"/>
      <c r="I26" s="202"/>
      <c r="J26" s="202"/>
    </row>
    <row r="27" spans="1:10" s="195" customFormat="1">
      <c r="A27" s="202"/>
      <c r="B27" s="202"/>
      <c r="C27" s="202"/>
      <c r="D27" s="202"/>
      <c r="E27" s="202"/>
      <c r="F27" s="202"/>
      <c r="G27" s="203"/>
      <c r="H27" s="202"/>
      <c r="I27" s="202"/>
      <c r="J27" s="202"/>
    </row>
    <row r="28" spans="1:10" s="195" customFormat="1">
      <c r="A28" s="202"/>
      <c r="B28" s="202"/>
      <c r="C28" s="202"/>
      <c r="D28" s="202"/>
      <c r="E28" s="202"/>
      <c r="F28" s="202"/>
      <c r="G28" s="203"/>
      <c r="H28" s="202"/>
      <c r="I28" s="202"/>
      <c r="J28" s="202"/>
    </row>
    <row r="29" spans="1:10" s="195" customFormat="1">
      <c r="A29" s="202"/>
      <c r="B29" s="202"/>
      <c r="C29" s="202"/>
      <c r="D29" s="202"/>
      <c r="E29" s="202"/>
      <c r="F29" s="202"/>
      <c r="G29" s="203"/>
      <c r="H29" s="202"/>
      <c r="I29" s="202"/>
      <c r="J29" s="202"/>
    </row>
  </sheetData>
  <mergeCells count="5">
    <mergeCell ref="D4:G4"/>
    <mergeCell ref="F18:G18"/>
    <mergeCell ref="F19:G19"/>
    <mergeCell ref="F20:G20"/>
    <mergeCell ref="F21:G21"/>
  </mergeCells>
  <pageMargins left="0.75" right="0.75" top="1" bottom="1" header="0.5" footer="0.5"/>
  <pageSetup orientation="portrait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A3FE-806C-4EA8-8698-1B0CB8BFEFA5}">
  <dimension ref="A1:AH1023"/>
  <sheetViews>
    <sheetView zoomScale="120" zoomScaleNormal="120" workbookViewId="0">
      <selection activeCell="I74" sqref="I74"/>
    </sheetView>
  </sheetViews>
  <sheetFormatPr defaultColWidth="14.42578125" defaultRowHeight="15" customHeight="1" outlineLevelRow="1"/>
  <cols>
    <col min="1" max="2" width="1.5703125" style="35" customWidth="1"/>
    <col min="3" max="3" width="39.28515625" customWidth="1"/>
    <col min="4" max="5" width="15.5703125" bestFit="1" customWidth="1"/>
    <col min="6" max="6" width="4.85546875" style="35" customWidth="1"/>
    <col min="7" max="7" width="51.5703125" customWidth="1"/>
    <col min="8" max="8" width="12.85546875" bestFit="1" customWidth="1"/>
    <col min="9" max="9" width="10.5703125" bestFit="1" customWidth="1"/>
    <col min="10" max="12" width="12.28515625" customWidth="1"/>
    <col min="13" max="13" width="12.5703125" bestFit="1" customWidth="1"/>
    <col min="14" max="14" width="4.5703125" style="35" customWidth="1"/>
    <col min="15" max="15" width="23" bestFit="1" customWidth="1"/>
    <col min="17" max="18" width="1.5703125" style="35" customWidth="1"/>
    <col min="19" max="34" width="14.42578125" style="35"/>
  </cols>
  <sheetData>
    <row r="1" spans="2:17" s="35" customFormat="1" ht="18.75" customHeight="1" thickBot="1"/>
    <row r="2" spans="2:17" s="35" customFormat="1" ht="21.75" thickBot="1">
      <c r="B2" s="148"/>
      <c r="C2" s="159" t="s">
        <v>98</v>
      </c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50"/>
    </row>
    <row r="3" spans="2:17" s="41" customFormat="1" ht="21">
      <c r="B3" s="157"/>
      <c r="C3" s="89"/>
      <c r="D3" s="237" t="s">
        <v>101</v>
      </c>
      <c r="E3" s="238" t="s">
        <v>100</v>
      </c>
      <c r="F3" s="146"/>
      <c r="G3" s="42" t="s">
        <v>98</v>
      </c>
      <c r="H3" s="43"/>
      <c r="I3" s="43"/>
      <c r="J3" s="43"/>
      <c r="K3" s="43"/>
      <c r="L3" s="43"/>
      <c r="M3" s="44"/>
      <c r="N3" s="146"/>
      <c r="O3" s="146"/>
      <c r="P3" s="146"/>
      <c r="Q3" s="151"/>
    </row>
    <row r="4" spans="2:17" ht="15" customHeight="1">
      <c r="B4" s="158"/>
      <c r="C4" s="25" t="s">
        <v>15</v>
      </c>
      <c r="D4" s="32" t="s">
        <v>7</v>
      </c>
      <c r="E4" s="33" t="s">
        <v>8</v>
      </c>
      <c r="F4" s="93"/>
      <c r="G4" s="69" t="s">
        <v>28</v>
      </c>
      <c r="H4" s="70">
        <v>0</v>
      </c>
      <c r="I4" s="70">
        <v>1</v>
      </c>
      <c r="J4" s="70">
        <v>2</v>
      </c>
      <c r="K4" s="70">
        <v>3</v>
      </c>
      <c r="L4" s="70">
        <v>4</v>
      </c>
      <c r="M4" s="71">
        <v>5</v>
      </c>
      <c r="N4" s="93"/>
      <c r="O4" s="93"/>
      <c r="P4" s="93"/>
      <c r="Q4" s="152"/>
    </row>
    <row r="5" spans="2:17" ht="15" customHeight="1">
      <c r="B5" s="158"/>
      <c r="C5" s="34"/>
      <c r="D5" s="32"/>
      <c r="E5" s="33"/>
      <c r="F5" s="93"/>
      <c r="G5" s="80" t="s">
        <v>66</v>
      </c>
      <c r="H5" s="40"/>
      <c r="I5" s="90"/>
      <c r="J5" s="90"/>
      <c r="K5" s="90"/>
      <c r="L5" s="90"/>
      <c r="M5" s="91"/>
      <c r="N5" s="93"/>
      <c r="O5" s="93"/>
      <c r="P5" s="93"/>
      <c r="Q5" s="152"/>
    </row>
    <row r="6" spans="2:17">
      <c r="B6" s="158"/>
      <c r="C6" s="12" t="s">
        <v>4</v>
      </c>
      <c r="D6" s="13">
        <v>0.02</v>
      </c>
      <c r="E6" s="14">
        <v>0.01</v>
      </c>
      <c r="F6" s="93"/>
      <c r="G6" s="72" t="s">
        <v>43</v>
      </c>
      <c r="H6" s="67">
        <f>-E15</f>
        <v>-1000000</v>
      </c>
      <c r="I6" s="68">
        <f>'Sources &amp; Uses Specified Offeri'!$F$12*$E$15</f>
        <v>80000</v>
      </c>
      <c r="J6" s="68">
        <f>'Sources &amp; Uses Specified Offeri'!$F$12*$E$15</f>
        <v>80000</v>
      </c>
      <c r="K6" s="68">
        <f>'Sources &amp; Uses Specified Offeri'!$F$12*$E$15</f>
        <v>80000</v>
      </c>
      <c r="L6" s="68">
        <f>'Sources &amp; Uses Specified Offeri'!$F$12*$E$15</f>
        <v>80000</v>
      </c>
      <c r="M6" s="73">
        <f>-(H6+SUM(I17:M17))*(1+$D$26)^M4</f>
        <v>1914448.6141174745</v>
      </c>
      <c r="N6" s="93"/>
      <c r="O6" s="93"/>
      <c r="P6" s="93"/>
      <c r="Q6" s="152"/>
    </row>
    <row r="7" spans="2:17" ht="15" customHeight="1">
      <c r="B7" s="158"/>
      <c r="C7" s="12" t="s">
        <v>5</v>
      </c>
      <c r="D7" s="13">
        <v>0.02</v>
      </c>
      <c r="E7" s="14">
        <v>1.4999999999999999E-2</v>
      </c>
      <c r="F7" s="93"/>
      <c r="G7" s="74" t="s">
        <v>44</v>
      </c>
      <c r="H7" s="64"/>
      <c r="I7" s="65">
        <f>-$D$8*$H$6</f>
        <v>80000</v>
      </c>
      <c r="J7" s="65">
        <f>-$D$8*$H$6</f>
        <v>80000</v>
      </c>
      <c r="K7" s="65">
        <f>-$D$8*$H$6</f>
        <v>80000</v>
      </c>
      <c r="L7" s="65">
        <f>-$D$8*$H$6</f>
        <v>80000</v>
      </c>
      <c r="M7" s="75">
        <f>-$D$8*$H$6-H6+IF(I8&lt;0,-I8,0)+IF(J8&lt;0,-J8,0)+IF(K8&lt;0,-K8,0)+IF(L8&lt;0,-L8,0)</f>
        <v>1080000</v>
      </c>
      <c r="N7" s="93"/>
      <c r="O7" s="93"/>
      <c r="P7" s="93"/>
      <c r="Q7" s="152"/>
    </row>
    <row r="8" spans="2:17" ht="15" customHeight="1">
      <c r="B8" s="158"/>
      <c r="C8" s="12" t="s">
        <v>6</v>
      </c>
      <c r="D8" s="13">
        <v>0.08</v>
      </c>
      <c r="E8" s="14">
        <v>0.09</v>
      </c>
      <c r="F8" s="93"/>
      <c r="G8" s="76" t="s">
        <v>39</v>
      </c>
      <c r="H8" s="39"/>
      <c r="I8" s="38">
        <f>I6-I7</f>
        <v>0</v>
      </c>
      <c r="J8" s="38">
        <f>J6-J7</f>
        <v>0</v>
      </c>
      <c r="K8" s="38">
        <f>K6-K7</f>
        <v>0</v>
      </c>
      <c r="L8" s="38">
        <f>L6-L7</f>
        <v>0</v>
      </c>
      <c r="M8" s="77">
        <f>M6-M7</f>
        <v>834448.61411747453</v>
      </c>
      <c r="N8" s="93"/>
      <c r="O8" s="93"/>
      <c r="P8" s="93"/>
      <c r="Q8" s="152"/>
    </row>
    <row r="9" spans="2:17" ht="15" customHeight="1" thickBot="1">
      <c r="B9" s="158"/>
      <c r="C9" s="12" t="s">
        <v>12</v>
      </c>
      <c r="D9" s="15"/>
      <c r="E9" s="16"/>
      <c r="F9" s="93"/>
      <c r="G9" s="227" t="s">
        <v>87</v>
      </c>
      <c r="H9" s="39"/>
      <c r="I9" s="38">
        <f>I8*(1-$D$10)</f>
        <v>0</v>
      </c>
      <c r="J9" s="38">
        <f>J8*(1-$D$10)</f>
        <v>0</v>
      </c>
      <c r="K9" s="38">
        <f>K8*(1-$D$10)</f>
        <v>0</v>
      </c>
      <c r="L9" s="38">
        <f>L8*(1-$D$10)</f>
        <v>0</v>
      </c>
      <c r="M9" s="77">
        <f>IF(SUM(M7:M8)&gt;M18,(M18-M7)*(1-D10),M8*(1-D10))</f>
        <v>377573.34999999963</v>
      </c>
      <c r="N9" s="93"/>
      <c r="O9" s="93"/>
      <c r="P9" s="93"/>
      <c r="Q9" s="152"/>
    </row>
    <row r="10" spans="2:17" ht="15" customHeight="1">
      <c r="B10" s="158"/>
      <c r="C10" s="17" t="s">
        <v>13</v>
      </c>
      <c r="D10" s="13">
        <v>0.2</v>
      </c>
      <c r="E10" s="14">
        <f>D10*0.5</f>
        <v>0.1</v>
      </c>
      <c r="F10" s="93"/>
      <c r="G10" s="227" t="s">
        <v>88</v>
      </c>
      <c r="H10" s="39"/>
      <c r="I10" s="38">
        <f>I8*$D$10</f>
        <v>0</v>
      </c>
      <c r="J10" s="38">
        <f>J8*$D$10</f>
        <v>0</v>
      </c>
      <c r="K10" s="38">
        <f>K8*$D$10</f>
        <v>0</v>
      </c>
      <c r="L10" s="38">
        <f>L8*$D$10</f>
        <v>0</v>
      </c>
      <c r="M10" s="77">
        <f>M9/(1-D10)*D10</f>
        <v>94393.337499999907</v>
      </c>
      <c r="N10" s="93"/>
      <c r="O10" s="110" t="s">
        <v>49</v>
      </c>
      <c r="P10" s="111">
        <f>AVERAGE(I15:L15)/-H6</f>
        <v>0.08</v>
      </c>
      <c r="Q10" s="152"/>
    </row>
    <row r="11" spans="2:17" ht="15" customHeight="1">
      <c r="B11" s="158"/>
      <c r="C11" s="17" t="s">
        <v>14</v>
      </c>
      <c r="D11" s="13">
        <v>0.3</v>
      </c>
      <c r="E11" s="14">
        <f>D11*0.5</f>
        <v>0.15</v>
      </c>
      <c r="F11" s="93"/>
      <c r="G11" s="227" t="s">
        <v>89</v>
      </c>
      <c r="H11" s="39"/>
      <c r="I11" s="39"/>
      <c r="J11" s="39"/>
      <c r="K11" s="39"/>
      <c r="L11" s="39"/>
      <c r="M11" s="77">
        <f>IF(SUM(M7:M8)&gt;M19,(M19-M18)*(1-D11),IF(SUM(M7:M8)&gt;M18,(SUM(M7:M8)-M18)*(1-D11),0))</f>
        <v>253737.34863223249</v>
      </c>
      <c r="N11" s="93"/>
      <c r="O11" s="112" t="s">
        <v>50</v>
      </c>
      <c r="P11" s="113">
        <f>-SUM(I15:M15)/H15</f>
        <v>2.031310698632232</v>
      </c>
      <c r="Q11" s="152"/>
    </row>
    <row r="12" spans="2:17" ht="15" customHeight="1">
      <c r="B12" s="158"/>
      <c r="C12" s="194" t="s">
        <v>64</v>
      </c>
      <c r="D12" s="13">
        <v>0.5</v>
      </c>
      <c r="E12" s="14">
        <f>D12*0.5</f>
        <v>0.25</v>
      </c>
      <c r="F12" s="93"/>
      <c r="G12" s="227" t="s">
        <v>91</v>
      </c>
      <c r="H12" s="39"/>
      <c r="I12" s="39"/>
      <c r="J12" s="39"/>
      <c r="K12" s="39"/>
      <c r="L12" s="39"/>
      <c r="M12" s="77">
        <f>M11/(1-D11)*D11</f>
        <v>108744.57798524249</v>
      </c>
      <c r="N12" s="93"/>
      <c r="O12" s="112" t="s">
        <v>51</v>
      </c>
      <c r="P12" s="114">
        <f>(SUM(H15:M15)/5)/E15</f>
        <v>0.20626213972644641</v>
      </c>
      <c r="Q12" s="152"/>
    </row>
    <row r="13" spans="2:17" ht="15" customHeight="1" thickBot="1">
      <c r="B13" s="158"/>
      <c r="C13" s="18" t="s">
        <v>9</v>
      </c>
      <c r="D13" s="13">
        <v>8.1953187244009032E-2</v>
      </c>
      <c r="E13" s="84">
        <f>D13</f>
        <v>8.1953187244009032E-2</v>
      </c>
      <c r="F13" s="93"/>
      <c r="G13" s="227" t="s">
        <v>90</v>
      </c>
      <c r="H13" s="3"/>
      <c r="I13" s="3"/>
      <c r="J13" s="3"/>
      <c r="K13" s="3"/>
      <c r="L13" s="3"/>
      <c r="M13" s="77">
        <f>(M8-SUM(M9:M12))*(1-D12)</f>
        <v>0</v>
      </c>
      <c r="N13" s="93"/>
      <c r="O13" s="115" t="s">
        <v>3</v>
      </c>
      <c r="P13" s="116">
        <f>IRR(H15:M15)</f>
        <v>0.17000177694687224</v>
      </c>
      <c r="Q13" s="152"/>
    </row>
    <row r="14" spans="2:17" ht="15" customHeight="1">
      <c r="B14" s="158"/>
      <c r="C14" s="18" t="s">
        <v>11</v>
      </c>
      <c r="D14" s="13">
        <v>0.08</v>
      </c>
      <c r="E14" s="84">
        <f>D14</f>
        <v>0.08</v>
      </c>
      <c r="F14" s="93"/>
      <c r="G14" s="227" t="s">
        <v>92</v>
      </c>
      <c r="H14" s="3"/>
      <c r="I14" s="3"/>
      <c r="J14" s="3"/>
      <c r="K14" s="3"/>
      <c r="L14" s="3"/>
      <c r="M14" s="77">
        <f>(M8-SUM(M9:M12))*(D12)</f>
        <v>0</v>
      </c>
      <c r="N14" s="93"/>
      <c r="O14" s="93"/>
      <c r="P14" s="93"/>
      <c r="Q14" s="152"/>
    </row>
    <row r="15" spans="2:17" ht="15" customHeight="1">
      <c r="B15" s="158"/>
      <c r="C15" s="18" t="s">
        <v>20</v>
      </c>
      <c r="D15" s="20">
        <v>100000</v>
      </c>
      <c r="E15" s="26">
        <v>1000000</v>
      </c>
      <c r="F15" s="93"/>
      <c r="G15" s="78" t="s">
        <v>40</v>
      </c>
      <c r="H15" s="66">
        <f>SUM(H6:H14)</f>
        <v>-1000000</v>
      </c>
      <c r="I15" s="66">
        <f>IF(I8&gt;0,I7+I9+I11,I7+I8)</f>
        <v>80000</v>
      </c>
      <c r="J15" s="66">
        <f>IF(J8&gt;0,J7+J9+J11,J7+J8)</f>
        <v>80000</v>
      </c>
      <c r="K15" s="66">
        <f>IF(K8&gt;0,K7+K9+K11,K7+K8)</f>
        <v>80000</v>
      </c>
      <c r="L15" s="66">
        <f>IF(L8&gt;0,L7+L9+L11,L7+L8)</f>
        <v>80000</v>
      </c>
      <c r="M15" s="79">
        <f>M7+M9+M11+M13</f>
        <v>1711310.6986322321</v>
      </c>
      <c r="N15" s="93"/>
      <c r="O15" s="93"/>
      <c r="P15" s="93"/>
      <c r="Q15" s="152"/>
    </row>
    <row r="16" spans="2:17" ht="15" hidden="1" customHeight="1" outlineLevel="1">
      <c r="B16" s="158"/>
      <c r="C16" s="18"/>
      <c r="D16" s="13"/>
      <c r="E16" s="19"/>
      <c r="F16" s="93"/>
      <c r="G16" s="95" t="s">
        <v>45</v>
      </c>
      <c r="H16" s="96"/>
      <c r="I16" s="97"/>
      <c r="J16" s="97"/>
      <c r="K16" s="97"/>
      <c r="L16" s="97"/>
      <c r="M16" s="98"/>
      <c r="N16" s="93"/>
      <c r="O16" s="229" t="s">
        <v>42</v>
      </c>
      <c r="P16" s="106">
        <f>IRR(H6:M6)</f>
        <v>0.19356212504460579</v>
      </c>
      <c r="Q16" s="152"/>
    </row>
    <row r="17" spans="2:22" ht="15" hidden="1" customHeight="1" outlineLevel="1">
      <c r="B17" s="158"/>
      <c r="C17" s="18"/>
      <c r="D17" s="13"/>
      <c r="E17" s="19"/>
      <c r="F17" s="93"/>
      <c r="G17" s="99" t="s">
        <v>46</v>
      </c>
      <c r="H17" s="100"/>
      <c r="I17" s="101">
        <f>I6/(1+$D$26)^I4</f>
        <v>67026.255543263207</v>
      </c>
      <c r="J17" s="101">
        <f>J6/(1+$D$26)^J4</f>
        <v>56156.486651885258</v>
      </c>
      <c r="K17" s="101">
        <f>K6/(1+$D$26)^K4</f>
        <v>47049.487809263883</v>
      </c>
      <c r="L17" s="101">
        <f>L6/(1+$D$26)^L4</f>
        <v>39419.387413542092</v>
      </c>
      <c r="M17" s="102"/>
      <c r="N17" s="93"/>
      <c r="O17" s="230" t="s">
        <v>41</v>
      </c>
      <c r="P17" s="233">
        <f>IRR(H20:M20)</f>
        <v>0.14999999999999458</v>
      </c>
      <c r="Q17" s="152"/>
    </row>
    <row r="18" spans="2:22" ht="15" hidden="1" customHeight="1" outlineLevel="1">
      <c r="B18" s="158"/>
      <c r="C18" s="18"/>
      <c r="D18" s="13"/>
      <c r="E18" s="19"/>
      <c r="F18" s="93"/>
      <c r="G18" s="103" t="s">
        <v>47</v>
      </c>
      <c r="H18" s="100"/>
      <c r="I18" s="101">
        <f>I15/(1+0.15)^I4</f>
        <v>69565.217391304352</v>
      </c>
      <c r="J18" s="101">
        <f>J15/(1+0.15)^J4</f>
        <v>60491.49338374292</v>
      </c>
      <c r="K18" s="101">
        <f>K15/(1+0.15)^K4</f>
        <v>52601.29859455907</v>
      </c>
      <c r="L18" s="101">
        <f>L15/(1+0.15)^L4</f>
        <v>45740.259647442668</v>
      </c>
      <c r="M18" s="102">
        <f>-(H15+SUM(I18:L18))*(1+0.15)^M4</f>
        <v>1551966.6874999995</v>
      </c>
      <c r="N18" s="93"/>
      <c r="O18" s="231" t="s">
        <v>94</v>
      </c>
      <c r="P18" s="106">
        <f>IRR(H21:M21)</f>
        <v>0.21999999999999953</v>
      </c>
      <c r="Q18" s="152"/>
    </row>
    <row r="19" spans="2:22" ht="15" hidden="1" customHeight="1" outlineLevel="1">
      <c r="B19" s="158"/>
      <c r="C19" s="18"/>
      <c r="D19" s="13"/>
      <c r="E19" s="19"/>
      <c r="F19" s="93"/>
      <c r="G19" s="228" t="s">
        <v>93</v>
      </c>
      <c r="H19" s="100"/>
      <c r="I19" s="101">
        <f>I15/(1+0.22)^I4</f>
        <v>65573.770491803283</v>
      </c>
      <c r="J19" s="101">
        <f>J15/(1+0.22)^J4</f>
        <v>53748.992206396135</v>
      </c>
      <c r="K19" s="101">
        <f>K15/(1+0.22)^K4</f>
        <v>44056.550988849289</v>
      </c>
      <c r="L19" s="101">
        <f>L15/(1+0.22)^L4</f>
        <v>36111.927040040406</v>
      </c>
      <c r="M19" s="102">
        <f>-(H15+SUM(I19:L19))*(1+0.22)^M4</f>
        <v>2163541.5583999995</v>
      </c>
      <c r="N19" s="93"/>
      <c r="O19" s="93"/>
      <c r="P19" s="93"/>
      <c r="Q19" s="152"/>
    </row>
    <row r="20" spans="2:22" ht="15" hidden="1" customHeight="1" outlineLevel="1">
      <c r="B20" s="158"/>
      <c r="C20" s="18"/>
      <c r="D20" s="13"/>
      <c r="E20" s="19"/>
      <c r="F20" s="93"/>
      <c r="G20" s="103" t="s">
        <v>48</v>
      </c>
      <c r="H20" s="101">
        <f>H15</f>
        <v>-1000000</v>
      </c>
      <c r="I20" s="101">
        <f>I15</f>
        <v>80000</v>
      </c>
      <c r="J20" s="101">
        <f>J15</f>
        <v>80000</v>
      </c>
      <c r="K20" s="101">
        <f>K15</f>
        <v>80000</v>
      </c>
      <c r="L20" s="101">
        <f>L15</f>
        <v>80000</v>
      </c>
      <c r="M20" s="102">
        <f>M18</f>
        <v>1551966.6874999995</v>
      </c>
      <c r="N20" s="93"/>
      <c r="O20" s="93"/>
      <c r="P20" s="93"/>
      <c r="Q20" s="152"/>
    </row>
    <row r="21" spans="2:22" ht="15" hidden="1" customHeight="1" outlineLevel="1">
      <c r="B21" s="158"/>
      <c r="C21" s="18"/>
      <c r="D21" s="13"/>
      <c r="E21" s="19"/>
      <c r="F21" s="93"/>
      <c r="G21" s="232" t="s">
        <v>95</v>
      </c>
      <c r="H21" s="104">
        <f>H15</f>
        <v>-1000000</v>
      </c>
      <c r="I21" s="104">
        <f>I6</f>
        <v>80000</v>
      </c>
      <c r="J21" s="104">
        <f>J6</f>
        <v>80000</v>
      </c>
      <c r="K21" s="104">
        <f>K6</f>
        <v>80000</v>
      </c>
      <c r="L21" s="104">
        <f>L6</f>
        <v>80000</v>
      </c>
      <c r="M21" s="105">
        <f>M19</f>
        <v>2163541.5583999995</v>
      </c>
      <c r="N21" s="93"/>
      <c r="O21" s="93"/>
      <c r="P21" s="93"/>
      <c r="Q21" s="152"/>
    </row>
    <row r="22" spans="2:22" ht="15" customHeight="1" collapsed="1">
      <c r="B22" s="158"/>
      <c r="C22" s="18" t="s">
        <v>17</v>
      </c>
      <c r="D22" s="20">
        <v>20000000</v>
      </c>
      <c r="E22" s="14"/>
      <c r="F22" s="93"/>
      <c r="G22" s="35"/>
      <c r="H22" s="35"/>
      <c r="I22" s="35"/>
      <c r="J22" s="35"/>
      <c r="K22" s="35"/>
      <c r="L22" s="35"/>
      <c r="M22" s="35"/>
      <c r="O22" s="35"/>
      <c r="P22" s="35"/>
      <c r="Q22" s="152"/>
    </row>
    <row r="23" spans="2:22" ht="15" customHeight="1">
      <c r="B23" s="158"/>
      <c r="C23" s="18" t="s">
        <v>10</v>
      </c>
      <c r="D23" s="62">
        <v>0.6</v>
      </c>
      <c r="E23" s="14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152"/>
    </row>
    <row r="24" spans="2:22" ht="15" customHeight="1">
      <c r="B24" s="158"/>
      <c r="C24" s="18" t="s">
        <v>18</v>
      </c>
      <c r="D24" s="21">
        <f>D22/(1-D23)</f>
        <v>50000000</v>
      </c>
      <c r="E24" s="16"/>
      <c r="F24" s="93"/>
      <c r="G24" s="69" t="s">
        <v>28</v>
      </c>
      <c r="H24" s="70">
        <v>0</v>
      </c>
      <c r="I24" s="70">
        <v>1</v>
      </c>
      <c r="J24" s="70">
        <v>2</v>
      </c>
      <c r="K24" s="70">
        <v>3</v>
      </c>
      <c r="L24" s="70">
        <v>4</v>
      </c>
      <c r="M24" s="71">
        <v>5</v>
      </c>
      <c r="N24" s="93"/>
      <c r="O24" s="93"/>
      <c r="P24" s="93"/>
      <c r="Q24" s="152"/>
    </row>
    <row r="25" spans="2:22" ht="15" customHeight="1">
      <c r="B25" s="158"/>
      <c r="C25" s="22" t="s">
        <v>16</v>
      </c>
      <c r="D25" s="15"/>
      <c r="E25" s="16"/>
      <c r="F25" s="93"/>
      <c r="G25" s="80" t="s">
        <v>65</v>
      </c>
      <c r="H25" s="40"/>
      <c r="I25" s="15"/>
      <c r="J25" s="15"/>
      <c r="K25" s="15"/>
      <c r="L25" s="15"/>
      <c r="M25" s="81"/>
      <c r="N25" s="93"/>
      <c r="O25" s="93"/>
      <c r="P25" s="93"/>
      <c r="Q25" s="152"/>
      <c r="V25" s="239"/>
    </row>
    <row r="26" spans="2:22" ht="15.75" thickBot="1">
      <c r="B26" s="158"/>
      <c r="C26" s="23" t="s">
        <v>19</v>
      </c>
      <c r="D26" s="10">
        <v>0.19356212504460557</v>
      </c>
      <c r="E26" s="24"/>
      <c r="F26" s="93"/>
      <c r="G26" s="72" t="s">
        <v>43</v>
      </c>
      <c r="H26" s="67">
        <f>-E15</f>
        <v>-1000000</v>
      </c>
      <c r="I26" s="68">
        <f>'Sources &amp; Uses Specified Offeri'!$G$12*$E$15</f>
        <v>80000</v>
      </c>
      <c r="J26" s="68">
        <f>'Sources &amp; Uses Specified Offeri'!$G$12*$E$15</f>
        <v>80000</v>
      </c>
      <c r="K26" s="68">
        <f>'Sources &amp; Uses Specified Offeri'!$G$12*$E$15</f>
        <v>80000</v>
      </c>
      <c r="L26" s="68">
        <f>'Sources &amp; Uses Specified Offeri'!$G$12*$E$15</f>
        <v>80000</v>
      </c>
      <c r="M26" s="73">
        <f>M6</f>
        <v>1914448.6141174745</v>
      </c>
      <c r="N26" s="93"/>
      <c r="O26" s="93"/>
      <c r="P26" s="93"/>
      <c r="Q26" s="152"/>
      <c r="V26" s="239"/>
    </row>
    <row r="27" spans="2:22" ht="14.25" customHeight="1" thickBot="1">
      <c r="B27" s="158"/>
      <c r="C27" s="94"/>
      <c r="D27" s="94"/>
      <c r="E27" s="94"/>
      <c r="F27" s="93"/>
      <c r="G27" s="76" t="s">
        <v>44</v>
      </c>
      <c r="H27" s="39"/>
      <c r="I27" s="38">
        <f>-$E$8*$H$6</f>
        <v>90000</v>
      </c>
      <c r="J27" s="38">
        <f>-$E$8*$H$6</f>
        <v>90000</v>
      </c>
      <c r="K27" s="38">
        <f>-$E$8*$H$6</f>
        <v>90000</v>
      </c>
      <c r="L27" s="38">
        <f>-$E$8*$H$6</f>
        <v>90000</v>
      </c>
      <c r="M27" s="77">
        <f>-$E$8*$H$6-H26+IF(I28&lt;0,-I28,0)+IF(J28&lt;0,-J28,0)+IF(K28&lt;0,-K28,0)+IF(L28&lt;0,-L28,0)</f>
        <v>1130000</v>
      </c>
      <c r="N27" s="93"/>
      <c r="O27" s="93"/>
      <c r="P27" s="93"/>
      <c r="Q27" s="152"/>
    </row>
    <row r="28" spans="2:22">
      <c r="B28" s="158"/>
      <c r="C28" s="94"/>
      <c r="D28" s="94"/>
      <c r="E28" s="94"/>
      <c r="F28" s="94"/>
      <c r="G28" s="76" t="s">
        <v>39</v>
      </c>
      <c r="H28" s="39"/>
      <c r="I28" s="38">
        <f>I26-I27</f>
        <v>-10000</v>
      </c>
      <c r="J28" s="38">
        <f>J26-J27</f>
        <v>-10000</v>
      </c>
      <c r="K28" s="38">
        <f>K26-K27</f>
        <v>-10000</v>
      </c>
      <c r="L28" s="38">
        <f>L26-L27</f>
        <v>-10000</v>
      </c>
      <c r="M28" s="77">
        <f>M26-M27</f>
        <v>784448.61411747453</v>
      </c>
      <c r="N28" s="93"/>
      <c r="O28" s="110" t="s">
        <v>49</v>
      </c>
      <c r="P28" s="111">
        <f>AVERAGE(I35:L35)/-H26</f>
        <v>0.08</v>
      </c>
      <c r="Q28" s="152"/>
    </row>
    <row r="29" spans="2:22" ht="15" customHeight="1">
      <c r="B29" s="158"/>
      <c r="C29" s="94"/>
      <c r="D29" s="94"/>
      <c r="E29" s="94"/>
      <c r="F29" s="94"/>
      <c r="G29" s="227" t="s">
        <v>87</v>
      </c>
      <c r="H29" s="39"/>
      <c r="I29" s="38"/>
      <c r="J29" s="38"/>
      <c r="K29" s="38"/>
      <c r="L29" s="38"/>
      <c r="M29" s="77">
        <f>IF(SUM(M27:M28)&gt;M39,(M39-M27)*(1-E10),M28*(1-E10))</f>
        <v>379770.01874999958</v>
      </c>
      <c r="N29" s="93"/>
      <c r="O29" s="112" t="s">
        <v>50</v>
      </c>
      <c r="P29" s="113">
        <f>-SUM(I35:M35)/H35</f>
        <v>2.137879656374853</v>
      </c>
      <c r="Q29" s="152"/>
    </row>
    <row r="30" spans="2:22" ht="15" customHeight="1">
      <c r="B30" s="158"/>
      <c r="C30" s="93"/>
      <c r="D30" s="170"/>
      <c r="E30" s="170"/>
      <c r="F30" s="94"/>
      <c r="G30" s="227" t="s">
        <v>88</v>
      </c>
      <c r="H30" s="39"/>
      <c r="I30" s="38"/>
      <c r="J30" s="38"/>
      <c r="K30" s="38"/>
      <c r="L30" s="38"/>
      <c r="M30" s="77">
        <f>M29/(1-E10)*E10</f>
        <v>42196.668749999953</v>
      </c>
      <c r="N30" s="93"/>
      <c r="O30" s="112" t="s">
        <v>51</v>
      </c>
      <c r="P30" s="114">
        <f>(SUM(H35:M35)/5)/E15</f>
        <v>0.22757593127497067</v>
      </c>
      <c r="Q30" s="152"/>
    </row>
    <row r="31" spans="2:22" ht="15" customHeight="1" thickBot="1">
      <c r="B31" s="158"/>
      <c r="C31" s="93"/>
      <c r="D31" s="93"/>
      <c r="E31" s="93"/>
      <c r="F31" s="94"/>
      <c r="G31" s="227" t="s">
        <v>89</v>
      </c>
      <c r="H31" s="39"/>
      <c r="I31" s="39"/>
      <c r="J31" s="39"/>
      <c r="K31" s="39"/>
      <c r="L31" s="39"/>
      <c r="M31" s="77">
        <f>IF(SUM(M27:M28)&gt;M40,(M40-M39)*(1-E11),IF(SUM(M27:M28)&gt;M39,(SUM(M27:M28)-M39)*(1-E11),0))</f>
        <v>308109.63762485376</v>
      </c>
      <c r="N31" s="93"/>
      <c r="O31" s="115" t="s">
        <v>3</v>
      </c>
      <c r="P31" s="116">
        <f>IRR(H35:M35)</f>
        <v>0.18260982889358024</v>
      </c>
      <c r="Q31" s="152"/>
    </row>
    <row r="32" spans="2:22" ht="15" customHeight="1">
      <c r="B32" s="158"/>
      <c r="C32" s="93"/>
      <c r="D32" s="93"/>
      <c r="E32" s="93"/>
      <c r="F32" s="94"/>
      <c r="G32" s="227" t="s">
        <v>91</v>
      </c>
      <c r="H32" s="39"/>
      <c r="I32" s="39"/>
      <c r="J32" s="39"/>
      <c r="K32" s="39"/>
      <c r="L32" s="39"/>
      <c r="M32" s="77">
        <f>M31/(1-E11)*E11</f>
        <v>54372.288992621245</v>
      </c>
      <c r="N32" s="93"/>
      <c r="O32" s="93"/>
      <c r="P32" s="93"/>
      <c r="Q32" s="152"/>
    </row>
    <row r="33" spans="2:17" ht="15" customHeight="1">
      <c r="B33" s="158"/>
      <c r="C33" s="93"/>
      <c r="D33" s="93"/>
      <c r="E33" s="93"/>
      <c r="F33" s="94"/>
      <c r="G33" s="227" t="s">
        <v>90</v>
      </c>
      <c r="I33" s="3"/>
      <c r="J33" s="3"/>
      <c r="K33" s="3"/>
      <c r="L33" s="3"/>
      <c r="M33" s="77">
        <f>(M28-SUM(M29:M32))*(1-E12)</f>
        <v>0</v>
      </c>
      <c r="N33" s="93"/>
      <c r="O33" s="93"/>
      <c r="P33" s="93"/>
      <c r="Q33" s="152"/>
    </row>
    <row r="34" spans="2:17" ht="15" customHeight="1">
      <c r="B34" s="158"/>
      <c r="C34" s="93"/>
      <c r="D34" s="93"/>
      <c r="E34" s="93"/>
      <c r="F34" s="94"/>
      <c r="G34" s="227" t="s">
        <v>92</v>
      </c>
      <c r="I34" s="3"/>
      <c r="J34" s="3"/>
      <c r="K34" s="3"/>
      <c r="L34" s="3"/>
      <c r="M34" s="77">
        <f>(M28-SUM(M29:M32))*(E12)</f>
        <v>0</v>
      </c>
      <c r="N34" s="93"/>
      <c r="O34" s="93"/>
      <c r="P34" s="93"/>
      <c r="Q34" s="152"/>
    </row>
    <row r="35" spans="2:17" ht="15" customHeight="1">
      <c r="B35" s="158"/>
      <c r="C35" s="93"/>
      <c r="D35" s="93"/>
      <c r="E35" s="93"/>
      <c r="F35" s="94"/>
      <c r="G35" s="78" t="s">
        <v>40</v>
      </c>
      <c r="H35" s="66">
        <f>H26</f>
        <v>-1000000</v>
      </c>
      <c r="I35" s="66">
        <f>SUM(I27:I34)</f>
        <v>80000</v>
      </c>
      <c r="J35" s="66">
        <f>IF(J28&gt;0,J27+J29+J31,J27+J28)</f>
        <v>80000</v>
      </c>
      <c r="K35" s="66">
        <f>IF(K28&gt;0,K27+K29+K31,K27+K28)</f>
        <v>80000</v>
      </c>
      <c r="L35" s="66">
        <f>IF(L28&gt;0,L27+L29+L31,L27+L28)</f>
        <v>80000</v>
      </c>
      <c r="M35" s="79">
        <f>M27+M29+M31+M33</f>
        <v>1817879.6563748533</v>
      </c>
      <c r="N35" s="93"/>
      <c r="O35" s="93"/>
      <c r="P35" s="93"/>
      <c r="Q35" s="152"/>
    </row>
    <row r="36" spans="2:17" ht="15" customHeight="1">
      <c r="B36" s="158"/>
      <c r="C36" s="93"/>
      <c r="D36" s="93"/>
      <c r="E36" s="93"/>
      <c r="F36" s="94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152"/>
    </row>
    <row r="37" spans="2:17" s="35" customFormat="1" ht="15" hidden="1" customHeight="1" outlineLevel="1">
      <c r="B37" s="158"/>
      <c r="C37" s="94"/>
      <c r="D37" s="94"/>
      <c r="E37" s="94"/>
      <c r="F37" s="94"/>
      <c r="G37" s="95" t="s">
        <v>45</v>
      </c>
      <c r="H37" s="96"/>
      <c r="I37" s="97"/>
      <c r="J37" s="97"/>
      <c r="K37" s="97"/>
      <c r="L37" s="97"/>
      <c r="M37" s="98"/>
      <c r="N37" s="93"/>
      <c r="O37" s="93"/>
      <c r="P37" s="93"/>
      <c r="Q37" s="152"/>
    </row>
    <row r="38" spans="2:17" s="35" customFormat="1" ht="15" hidden="1" customHeight="1" outlineLevel="1">
      <c r="B38" s="158"/>
      <c r="C38" s="94"/>
      <c r="D38" s="94"/>
      <c r="E38" s="94"/>
      <c r="F38" s="94"/>
      <c r="G38" s="99" t="s">
        <v>46</v>
      </c>
      <c r="H38" s="100"/>
      <c r="I38" s="101">
        <f>I26/(1+$D$26)^I24</f>
        <v>67026.255543263207</v>
      </c>
      <c r="J38" s="101">
        <f>J26/(1+$D$26)^J24</f>
        <v>56156.486651885258</v>
      </c>
      <c r="K38" s="101">
        <f>K26/(1+$D$26)^K24</f>
        <v>47049.487809263883</v>
      </c>
      <c r="L38" s="101">
        <f>L26/(1+$D$26)^L24</f>
        <v>39419.387413542092</v>
      </c>
      <c r="M38" s="102"/>
      <c r="N38" s="93"/>
      <c r="O38" s="93"/>
      <c r="P38" s="93"/>
      <c r="Q38" s="152"/>
    </row>
    <row r="39" spans="2:17" s="35" customFormat="1" ht="15" hidden="1" customHeight="1" outlineLevel="1">
      <c r="B39" s="158"/>
      <c r="C39" s="94"/>
      <c r="D39" s="94"/>
      <c r="E39" s="94"/>
      <c r="F39" s="94"/>
      <c r="G39" s="103" t="s">
        <v>47</v>
      </c>
      <c r="H39" s="100"/>
      <c r="I39" s="101">
        <f t="shared" ref="I39:M42" si="0">I18</f>
        <v>69565.217391304352</v>
      </c>
      <c r="J39" s="101">
        <f t="shared" si="0"/>
        <v>60491.49338374292</v>
      </c>
      <c r="K39" s="101">
        <f t="shared" si="0"/>
        <v>52601.29859455907</v>
      </c>
      <c r="L39" s="101">
        <f t="shared" si="0"/>
        <v>45740.259647442668</v>
      </c>
      <c r="M39" s="102">
        <f t="shared" si="0"/>
        <v>1551966.6874999995</v>
      </c>
      <c r="N39" s="93"/>
      <c r="O39" s="229" t="s">
        <v>42</v>
      </c>
      <c r="P39" s="106">
        <f>IRR(H26:M26)</f>
        <v>0.19356212504460579</v>
      </c>
      <c r="Q39" s="152"/>
    </row>
    <row r="40" spans="2:17" s="35" customFormat="1" ht="15" hidden="1" customHeight="1" outlineLevel="1">
      <c r="B40" s="158"/>
      <c r="C40" s="94"/>
      <c r="D40" s="94"/>
      <c r="E40" s="94"/>
      <c r="F40" s="94"/>
      <c r="G40" s="228" t="s">
        <v>93</v>
      </c>
      <c r="H40" s="100"/>
      <c r="I40" s="101">
        <f t="shared" si="0"/>
        <v>65573.770491803283</v>
      </c>
      <c r="J40" s="101">
        <f t="shared" si="0"/>
        <v>53748.992206396135</v>
      </c>
      <c r="K40" s="101">
        <f t="shared" si="0"/>
        <v>44056.550988849289</v>
      </c>
      <c r="L40" s="101">
        <f t="shared" si="0"/>
        <v>36111.927040040406</v>
      </c>
      <c r="M40" s="102">
        <f t="shared" si="0"/>
        <v>2163541.5583999995</v>
      </c>
      <c r="N40" s="93"/>
      <c r="O40" s="230" t="s">
        <v>41</v>
      </c>
      <c r="P40" s="106">
        <f>IRR(H41:M41)</f>
        <v>0.14999999999999458</v>
      </c>
      <c r="Q40" s="152"/>
    </row>
    <row r="41" spans="2:17" s="35" customFormat="1" ht="15" hidden="1" customHeight="1" outlineLevel="1">
      <c r="B41" s="158"/>
      <c r="C41" s="94"/>
      <c r="D41" s="94"/>
      <c r="E41" s="94"/>
      <c r="F41" s="94"/>
      <c r="G41" s="103" t="s">
        <v>48</v>
      </c>
      <c r="H41" s="101">
        <f>H15</f>
        <v>-1000000</v>
      </c>
      <c r="I41" s="101">
        <f t="shared" si="0"/>
        <v>80000</v>
      </c>
      <c r="J41" s="101">
        <f t="shared" si="0"/>
        <v>80000</v>
      </c>
      <c r="K41" s="101">
        <f t="shared" si="0"/>
        <v>80000</v>
      </c>
      <c r="L41" s="101">
        <f t="shared" si="0"/>
        <v>80000</v>
      </c>
      <c r="M41" s="102">
        <f t="shared" si="0"/>
        <v>1551966.6874999995</v>
      </c>
      <c r="N41" s="93"/>
      <c r="O41" s="231" t="s">
        <v>94</v>
      </c>
      <c r="P41" s="106">
        <f>IRR(H42:M42)</f>
        <v>0.21999999999999953</v>
      </c>
      <c r="Q41" s="152"/>
    </row>
    <row r="42" spans="2:17" s="35" customFormat="1" ht="15" hidden="1" customHeight="1" outlineLevel="1">
      <c r="B42" s="158"/>
      <c r="C42" s="94"/>
      <c r="D42" s="94"/>
      <c r="E42" s="94"/>
      <c r="F42" s="94"/>
      <c r="G42" s="232" t="s">
        <v>95</v>
      </c>
      <c r="H42" s="104">
        <f>H15</f>
        <v>-1000000</v>
      </c>
      <c r="I42" s="104">
        <f t="shared" si="0"/>
        <v>80000</v>
      </c>
      <c r="J42" s="104">
        <f t="shared" si="0"/>
        <v>80000</v>
      </c>
      <c r="K42" s="104">
        <f t="shared" si="0"/>
        <v>80000</v>
      </c>
      <c r="L42" s="104">
        <f t="shared" si="0"/>
        <v>80000</v>
      </c>
      <c r="M42" s="105">
        <f t="shared" si="0"/>
        <v>2163541.5583999995</v>
      </c>
      <c r="N42" s="93"/>
      <c r="O42" s="92"/>
      <c r="P42" s="107"/>
      <c r="Q42" s="152"/>
    </row>
    <row r="43" spans="2:17" s="35" customFormat="1" ht="15" customHeight="1" collapsed="1" thickBot="1">
      <c r="B43" s="158"/>
      <c r="C43" s="94"/>
      <c r="D43" s="94"/>
      <c r="E43" s="94"/>
      <c r="F43" s="94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152"/>
    </row>
    <row r="44" spans="2:17" s="35" customFormat="1" ht="15" customHeight="1">
      <c r="B44" s="158"/>
      <c r="C44" s="94"/>
      <c r="D44" s="94"/>
      <c r="E44" s="94"/>
      <c r="F44" s="94"/>
      <c r="G44" s="182" t="s">
        <v>35</v>
      </c>
      <c r="H44" s="183"/>
      <c r="I44" s="183"/>
      <c r="J44" s="183"/>
      <c r="K44" s="183"/>
      <c r="L44" s="183"/>
      <c r="M44" s="184"/>
      <c r="N44" s="93"/>
      <c r="O44" s="246" t="s">
        <v>30</v>
      </c>
      <c r="P44" s="243" t="s">
        <v>26</v>
      </c>
      <c r="Q44" s="152"/>
    </row>
    <row r="45" spans="2:17" s="35" customFormat="1" ht="15" customHeight="1">
      <c r="B45" s="158"/>
      <c r="C45" s="94"/>
      <c r="D45" s="94"/>
      <c r="E45" s="94"/>
      <c r="F45" s="94"/>
      <c r="G45" s="185" t="s">
        <v>29</v>
      </c>
      <c r="H45" s="83">
        <f>E15/D22*(D24*D6)</f>
        <v>50000</v>
      </c>
      <c r="I45" s="3"/>
      <c r="J45" s="3"/>
      <c r="K45" s="3"/>
      <c r="L45" s="3"/>
      <c r="M45" s="186"/>
      <c r="N45" s="93"/>
      <c r="O45" s="247"/>
      <c r="P45" s="244"/>
      <c r="Q45" s="152"/>
    </row>
    <row r="46" spans="2:17" s="35" customFormat="1" ht="15" customHeight="1">
      <c r="B46" s="158"/>
      <c r="C46" s="94"/>
      <c r="D46" s="94"/>
      <c r="E46" s="94"/>
      <c r="F46" s="94"/>
      <c r="G46" s="187" t="s">
        <v>54</v>
      </c>
      <c r="H46" s="83"/>
      <c r="I46" s="83">
        <f>$D$13*$E$15/$D$23*$D$7</f>
        <v>2731.7729081336347</v>
      </c>
      <c r="J46" s="83">
        <f>I46</f>
        <v>2731.7729081336347</v>
      </c>
      <c r="K46" s="83">
        <f>J46</f>
        <v>2731.7729081336347</v>
      </c>
      <c r="L46" s="83">
        <f>K46</f>
        <v>2731.7729081336347</v>
      </c>
      <c r="M46" s="83">
        <f>L46</f>
        <v>2731.7729081336347</v>
      </c>
      <c r="N46" s="93"/>
      <c r="O46" s="247"/>
      <c r="P46" s="244"/>
      <c r="Q46" s="152"/>
    </row>
    <row r="47" spans="2:17" s="35" customFormat="1" ht="15" customHeight="1" thickBot="1">
      <c r="B47" s="158"/>
      <c r="C47" s="94"/>
      <c r="D47" s="94"/>
      <c r="E47" s="94"/>
      <c r="F47" s="94"/>
      <c r="G47" s="189" t="s">
        <v>0</v>
      </c>
      <c r="H47" s="85"/>
      <c r="I47" s="85"/>
      <c r="J47" s="85"/>
      <c r="K47" s="85"/>
      <c r="L47" s="85"/>
      <c r="M47" s="188">
        <f>M10+M12+M14</f>
        <v>203137.91548524238</v>
      </c>
      <c r="N47" s="93"/>
      <c r="O47" s="248"/>
      <c r="P47" s="245"/>
      <c r="Q47" s="152"/>
    </row>
    <row r="48" spans="2:17" s="35" customFormat="1" ht="15" customHeight="1" thickTop="1" thickBot="1">
      <c r="B48" s="158"/>
      <c r="C48" s="94"/>
      <c r="D48" s="94"/>
      <c r="E48" s="94"/>
      <c r="F48" s="94"/>
      <c r="G48" s="190" t="s">
        <v>53</v>
      </c>
      <c r="H48" s="191">
        <f t="shared" ref="H48:M48" si="1">SUM(H45:H47)</f>
        <v>50000</v>
      </c>
      <c r="I48" s="191">
        <f t="shared" si="1"/>
        <v>2731.7729081336347</v>
      </c>
      <c r="J48" s="191">
        <f t="shared" si="1"/>
        <v>2731.7729081336347</v>
      </c>
      <c r="K48" s="191">
        <f t="shared" si="1"/>
        <v>2731.7729081336347</v>
      </c>
      <c r="L48" s="191">
        <f t="shared" si="1"/>
        <v>2731.7729081336347</v>
      </c>
      <c r="M48" s="192">
        <f t="shared" si="1"/>
        <v>205869.68839337601</v>
      </c>
      <c r="N48" s="93"/>
      <c r="O48" s="108">
        <f>SUM(H48:M48)</f>
        <v>266796.78002591059</v>
      </c>
      <c r="P48" s="109">
        <f>O48/$E$15</f>
        <v>0.26679678002591056</v>
      </c>
      <c r="Q48" s="152"/>
    </row>
    <row r="49" spans="2:20" s="35" customFormat="1" ht="15" customHeight="1" thickBot="1">
      <c r="B49" s="158"/>
      <c r="C49" s="94"/>
      <c r="D49" s="94"/>
      <c r="E49" s="94"/>
      <c r="F49" s="94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152"/>
    </row>
    <row r="50" spans="2:20" s="35" customFormat="1" ht="15" customHeight="1">
      <c r="B50" s="158"/>
      <c r="C50" s="94"/>
      <c r="D50" s="94"/>
      <c r="E50" s="94"/>
      <c r="F50" s="94"/>
      <c r="G50" s="182" t="s">
        <v>102</v>
      </c>
      <c r="H50" s="183"/>
      <c r="I50" s="183"/>
      <c r="J50" s="183"/>
      <c r="K50" s="183"/>
      <c r="L50" s="183"/>
      <c r="M50" s="184"/>
      <c r="N50" s="93"/>
      <c r="O50" s="246" t="s">
        <v>30</v>
      </c>
      <c r="P50" s="243" t="s">
        <v>26</v>
      </c>
      <c r="Q50" s="152"/>
    </row>
    <row r="51" spans="2:20" s="35" customFormat="1" ht="15" customHeight="1">
      <c r="B51" s="158"/>
      <c r="C51" s="94"/>
      <c r="D51" s="94"/>
      <c r="E51" s="94"/>
      <c r="F51" s="94"/>
      <c r="G51" s="185" t="s">
        <v>29</v>
      </c>
      <c r="H51" s="83">
        <f>E15/D22*(D24*E6)</f>
        <v>25000</v>
      </c>
      <c r="I51" s="3"/>
      <c r="J51" s="3"/>
      <c r="K51" s="3"/>
      <c r="L51" s="3"/>
      <c r="M51" s="186"/>
      <c r="N51" s="93"/>
      <c r="O51" s="247"/>
      <c r="P51" s="244"/>
      <c r="Q51" s="152"/>
    </row>
    <row r="52" spans="2:20" s="35" customFormat="1" ht="15" customHeight="1">
      <c r="B52" s="158"/>
      <c r="C52" s="94"/>
      <c r="D52" s="94"/>
      <c r="E52" s="94"/>
      <c r="F52" s="94"/>
      <c r="G52" s="187" t="s">
        <v>54</v>
      </c>
      <c r="H52" s="83"/>
      <c r="I52" s="83">
        <f>$D$13*$E$15/$D$23*$E$7</f>
        <v>2048.8296811002256</v>
      </c>
      <c r="J52" s="83">
        <f>I52</f>
        <v>2048.8296811002256</v>
      </c>
      <c r="K52" s="83">
        <f>J52</f>
        <v>2048.8296811002256</v>
      </c>
      <c r="L52" s="83">
        <f>K52</f>
        <v>2048.8296811002256</v>
      </c>
      <c r="M52" s="83">
        <f>L52</f>
        <v>2048.8296811002256</v>
      </c>
      <c r="N52" s="93"/>
      <c r="O52" s="247"/>
      <c r="P52" s="244"/>
      <c r="Q52" s="152"/>
    </row>
    <row r="53" spans="2:20" s="35" customFormat="1" ht="15" customHeight="1" thickBot="1">
      <c r="B53" s="158"/>
      <c r="C53" s="94"/>
      <c r="D53" s="94"/>
      <c r="E53" s="94"/>
      <c r="F53" s="94"/>
      <c r="G53" s="189" t="s">
        <v>0</v>
      </c>
      <c r="H53" s="85"/>
      <c r="I53" s="85"/>
      <c r="J53" s="85"/>
      <c r="K53" s="85"/>
      <c r="L53" s="85"/>
      <c r="M53" s="188">
        <f>M30+M32+M34</f>
        <v>96568.957742621191</v>
      </c>
      <c r="N53" s="93"/>
      <c r="O53" s="248"/>
      <c r="P53" s="245"/>
      <c r="Q53" s="152"/>
      <c r="T53" s="239"/>
    </row>
    <row r="54" spans="2:20" s="35" customFormat="1" ht="15" customHeight="1" thickTop="1" thickBot="1">
      <c r="B54" s="158"/>
      <c r="C54" s="94"/>
      <c r="D54" s="94"/>
      <c r="E54" s="94"/>
      <c r="F54" s="94"/>
      <c r="G54" s="190" t="s">
        <v>53</v>
      </c>
      <c r="H54" s="191">
        <f t="shared" ref="H54:M54" si="2">SUM(H51:H53)</f>
        <v>25000</v>
      </c>
      <c r="I54" s="191">
        <f t="shared" si="2"/>
        <v>2048.8296811002256</v>
      </c>
      <c r="J54" s="191">
        <f t="shared" si="2"/>
        <v>2048.8296811002256</v>
      </c>
      <c r="K54" s="191">
        <f t="shared" si="2"/>
        <v>2048.8296811002256</v>
      </c>
      <c r="L54" s="191">
        <f t="shared" si="2"/>
        <v>2048.8296811002256</v>
      </c>
      <c r="M54" s="192">
        <f t="shared" si="2"/>
        <v>98617.787423721413</v>
      </c>
      <c r="N54" s="93"/>
      <c r="O54" s="108">
        <f>SUM(H54:M54)</f>
        <v>131813.10614812232</v>
      </c>
      <c r="P54" s="109">
        <f>O54/$E$15</f>
        <v>0.13181310614812231</v>
      </c>
      <c r="Q54" s="152"/>
    </row>
    <row r="55" spans="2:20" s="35" customFormat="1" ht="15" customHeight="1">
      <c r="B55" s="158"/>
      <c r="C55" s="94"/>
      <c r="D55" s="94"/>
      <c r="E55" s="94"/>
      <c r="F55" s="94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152"/>
    </row>
    <row r="56" spans="2:20" s="35" customFormat="1" ht="15" customHeight="1">
      <c r="B56" s="158"/>
      <c r="C56" s="94"/>
      <c r="D56" s="94"/>
      <c r="E56" s="94"/>
      <c r="F56" s="94"/>
      <c r="G56" s="147" t="s">
        <v>36</v>
      </c>
      <c r="H56" s="93"/>
      <c r="I56" s="93"/>
      <c r="J56" s="93"/>
      <c r="K56" s="93"/>
      <c r="L56" s="93"/>
      <c r="M56" s="93"/>
      <c r="N56" s="93"/>
      <c r="O56" s="93"/>
      <c r="P56" s="93"/>
      <c r="Q56" s="152"/>
    </row>
    <row r="57" spans="2:20" s="35" customFormat="1" ht="15" customHeight="1">
      <c r="B57" s="158"/>
      <c r="C57" s="94"/>
      <c r="D57" s="94"/>
      <c r="E57" s="94"/>
      <c r="F57" s="94"/>
      <c r="G57" s="147" t="s">
        <v>37</v>
      </c>
      <c r="H57" s="93"/>
      <c r="I57" s="93"/>
      <c r="J57" s="93"/>
      <c r="K57" s="93"/>
      <c r="L57" s="93"/>
      <c r="M57" s="93"/>
      <c r="N57" s="93"/>
      <c r="O57" s="93"/>
      <c r="P57" s="93"/>
      <c r="Q57" s="152"/>
    </row>
    <row r="58" spans="2:20" s="35" customFormat="1" ht="15" customHeight="1">
      <c r="B58" s="158"/>
      <c r="C58" s="94"/>
      <c r="D58" s="94"/>
      <c r="E58" s="94"/>
      <c r="F58" s="94"/>
      <c r="G58" s="240" t="s">
        <v>103</v>
      </c>
      <c r="H58" s="93"/>
      <c r="I58" s="93"/>
      <c r="J58" s="93"/>
      <c r="K58" s="93"/>
      <c r="L58" s="93"/>
      <c r="M58" s="93"/>
      <c r="N58" s="93"/>
      <c r="O58" s="93"/>
      <c r="P58" s="93"/>
      <c r="Q58" s="152"/>
    </row>
    <row r="59" spans="2:20" s="35" customFormat="1" ht="6.75" customHeight="1" thickBot="1">
      <c r="B59" s="154"/>
      <c r="C59" s="155"/>
      <c r="D59" s="155"/>
      <c r="E59" s="155"/>
      <c r="F59" s="155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3"/>
    </row>
    <row r="60" spans="2:20" s="35" customFormat="1" ht="6.75" customHeight="1" thickBot="1">
      <c r="B60" s="93"/>
      <c r="C60" s="94"/>
      <c r="D60" s="94"/>
      <c r="E60" s="94"/>
      <c r="F60" s="94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</row>
    <row r="61" spans="2:20" s="35" customFormat="1" ht="21.75" thickBot="1">
      <c r="B61" s="160"/>
      <c r="C61" s="161" t="s">
        <v>63</v>
      </c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3"/>
    </row>
    <row r="62" spans="2:20" s="35" customFormat="1" ht="21">
      <c r="B62" s="164"/>
      <c r="C62" s="88" t="s">
        <v>21</v>
      </c>
      <c r="D62" s="11"/>
      <c r="E62" s="27"/>
      <c r="F62" s="94"/>
      <c r="G62" s="42" t="s">
        <v>62</v>
      </c>
      <c r="H62" s="43"/>
      <c r="I62" s="43"/>
      <c r="J62" s="43"/>
      <c r="K62" s="43"/>
      <c r="L62" s="43"/>
      <c r="M62" s="44"/>
      <c r="N62" s="93"/>
      <c r="O62" s="93"/>
      <c r="P62" s="93"/>
      <c r="Q62" s="165"/>
    </row>
    <row r="63" spans="2:20" s="35" customFormat="1" ht="15" customHeight="1">
      <c r="B63" s="164"/>
      <c r="C63" s="4" t="s">
        <v>15</v>
      </c>
      <c r="D63" s="5"/>
      <c r="E63" s="6"/>
      <c r="F63" s="94"/>
      <c r="G63" s="37" t="s">
        <v>28</v>
      </c>
      <c r="H63" s="122">
        <v>0</v>
      </c>
      <c r="I63" s="122">
        <v>1</v>
      </c>
      <c r="J63" s="122">
        <v>2</v>
      </c>
      <c r="K63" s="122">
        <v>3</v>
      </c>
      <c r="L63" s="122">
        <v>4</v>
      </c>
      <c r="M63" s="123">
        <v>5</v>
      </c>
      <c r="N63" s="93"/>
      <c r="O63" s="93"/>
      <c r="P63" s="93"/>
      <c r="Q63" s="165"/>
    </row>
    <row r="64" spans="2:20" s="35" customFormat="1" ht="15" customHeight="1">
      <c r="B64" s="164"/>
      <c r="C64" s="7" t="s">
        <v>22</v>
      </c>
      <c r="D64" s="8" t="s">
        <v>2</v>
      </c>
      <c r="E64" s="9"/>
      <c r="F64" s="94"/>
      <c r="G64" s="124" t="s">
        <v>55</v>
      </c>
      <c r="H64" s="125"/>
      <c r="I64" s="126">
        <f>I68/(1+$D$26)^I63</f>
        <v>-502.69691657447402</v>
      </c>
      <c r="J64" s="126">
        <f>J68/(1+$D$26)^J63</f>
        <v>-421.17364988913948</v>
      </c>
      <c r="K64" s="126">
        <f>K68/(1+$D$26)^K63</f>
        <v>-352.87115856947912</v>
      </c>
      <c r="L64" s="126">
        <f>L68/(1+$D$26)^L63</f>
        <v>-295.6454056015657</v>
      </c>
      <c r="M64" s="127">
        <f>M68/(1+$D$26)^M63</f>
        <v>-247.70005632552798</v>
      </c>
      <c r="N64" s="93"/>
      <c r="O64" s="93"/>
      <c r="P64" s="93"/>
      <c r="Q64" s="165"/>
    </row>
    <row r="65" spans="2:17" s="35" customFormat="1" ht="15" customHeight="1">
      <c r="B65" s="164"/>
      <c r="C65" s="234" t="s">
        <v>96</v>
      </c>
      <c r="D65" s="29">
        <v>2.5000000000000001E-2</v>
      </c>
      <c r="E65" s="30"/>
      <c r="F65" s="94"/>
      <c r="G65" s="171" t="s">
        <v>43</v>
      </c>
      <c r="H65" s="172">
        <f>H26</f>
        <v>-1000000</v>
      </c>
      <c r="I65" s="173">
        <f>I35+(I46-I52)</f>
        <v>80682.943227033407</v>
      </c>
      <c r="J65" s="173">
        <f>J35+(J46-J52)</f>
        <v>80682.943227033407</v>
      </c>
      <c r="K65" s="173">
        <f>K35+(K46-K52)</f>
        <v>80682.943227033407</v>
      </c>
      <c r="L65" s="173">
        <f>L35+(L46-L52)</f>
        <v>80682.943227033407</v>
      </c>
      <c r="M65" s="173">
        <f>M35+(M46-M52)</f>
        <v>1818562.5996018867</v>
      </c>
      <c r="N65" s="93"/>
      <c r="O65" s="93"/>
      <c r="P65" s="93"/>
      <c r="Q65" s="165"/>
    </row>
    <row r="66" spans="2:17" s="35" customFormat="1" ht="15" customHeight="1">
      <c r="B66" s="164"/>
      <c r="C66" s="234" t="s">
        <v>97</v>
      </c>
      <c r="D66" s="242">
        <v>5.9999999999999995E-4</v>
      </c>
      <c r="E66" s="30"/>
      <c r="F66" s="94"/>
      <c r="G66" s="174" t="s">
        <v>1</v>
      </c>
      <c r="H66" s="83">
        <f>D65*E15</f>
        <v>25000</v>
      </c>
      <c r="I66" s="65"/>
      <c r="J66" s="65"/>
      <c r="K66" s="65"/>
      <c r="L66" s="65"/>
      <c r="M66" s="175"/>
      <c r="N66" s="93"/>
      <c r="O66" s="93"/>
      <c r="P66" s="93"/>
      <c r="Q66" s="165"/>
    </row>
    <row r="67" spans="2:17" s="35" customFormat="1" ht="15" customHeight="1">
      <c r="B67" s="164"/>
      <c r="C67" s="12" t="s">
        <v>6</v>
      </c>
      <c r="D67" s="13">
        <v>0.08</v>
      </c>
      <c r="E67" s="30"/>
      <c r="F67" s="94"/>
      <c r="G67" s="176" t="s">
        <v>56</v>
      </c>
      <c r="H67" s="137"/>
      <c r="I67" s="137"/>
      <c r="J67" s="137"/>
      <c r="K67" s="137"/>
      <c r="L67" s="137"/>
      <c r="M67" s="177"/>
      <c r="N67" s="93"/>
      <c r="O67" s="93"/>
      <c r="P67" s="93"/>
      <c r="Q67" s="165"/>
    </row>
    <row r="68" spans="2:17" s="35" customFormat="1" ht="15" customHeight="1">
      <c r="B68" s="164"/>
      <c r="C68" s="28" t="s">
        <v>27</v>
      </c>
      <c r="D68" s="15"/>
      <c r="E68" s="30"/>
      <c r="F68" s="94"/>
      <c r="G68" s="176" t="s">
        <v>24</v>
      </c>
      <c r="H68" s="39"/>
      <c r="I68" s="38">
        <f>-D66*E15</f>
        <v>-600</v>
      </c>
      <c r="J68" s="38">
        <f>I68</f>
        <v>-600</v>
      </c>
      <c r="K68" s="38">
        <f>J68</f>
        <v>-600</v>
      </c>
      <c r="L68" s="38">
        <f>K68</f>
        <v>-600</v>
      </c>
      <c r="M68" s="178">
        <f>L68</f>
        <v>-600</v>
      </c>
      <c r="N68" s="93"/>
      <c r="O68" s="93"/>
      <c r="P68" s="93"/>
      <c r="Q68" s="165"/>
    </row>
    <row r="69" spans="2:17" s="35" customFormat="1" ht="15" customHeight="1">
      <c r="B69" s="164"/>
      <c r="C69" s="235" t="s">
        <v>60</v>
      </c>
      <c r="D69" s="13">
        <v>0.15</v>
      </c>
      <c r="E69" s="30"/>
      <c r="F69" s="94"/>
      <c r="G69" s="179" t="s">
        <v>57</v>
      </c>
      <c r="H69" s="180">
        <f t="shared" ref="H69:M69" si="3">SUM(H65:H68)</f>
        <v>-975000</v>
      </c>
      <c r="I69" s="180">
        <f t="shared" si="3"/>
        <v>80082.943227033407</v>
      </c>
      <c r="J69" s="180">
        <f t="shared" si="3"/>
        <v>80082.943227033407</v>
      </c>
      <c r="K69" s="180">
        <f t="shared" si="3"/>
        <v>80082.943227033407</v>
      </c>
      <c r="L69" s="180">
        <f t="shared" si="3"/>
        <v>80082.943227033407</v>
      </c>
      <c r="M69" s="181">
        <f t="shared" si="3"/>
        <v>1817962.5996018867</v>
      </c>
      <c r="N69" s="93"/>
      <c r="O69" s="93"/>
      <c r="P69" s="93"/>
      <c r="Q69" s="165"/>
    </row>
    <row r="70" spans="2:17" s="35" customFormat="1" ht="15" customHeight="1" thickBot="1">
      <c r="B70" s="164"/>
      <c r="C70" s="236" t="s">
        <v>61</v>
      </c>
      <c r="D70" s="136">
        <f>1-D69</f>
        <v>0.85</v>
      </c>
      <c r="E70" s="31"/>
      <c r="F70" s="94"/>
      <c r="G70" s="145"/>
      <c r="H70" s="143"/>
      <c r="I70" s="144"/>
      <c r="J70" s="144"/>
      <c r="K70" s="144"/>
      <c r="L70" s="144"/>
      <c r="M70" s="144"/>
      <c r="N70" s="93"/>
      <c r="O70" s="93"/>
      <c r="P70" s="93"/>
      <c r="Q70" s="165"/>
    </row>
    <row r="71" spans="2:17" s="35" customFormat="1" ht="15" customHeight="1">
      <c r="B71" s="164"/>
      <c r="C71" s="94"/>
      <c r="D71" s="94"/>
      <c r="E71" s="94"/>
      <c r="F71" s="94"/>
      <c r="G71" s="145"/>
      <c r="H71" s="143"/>
      <c r="I71" s="143"/>
      <c r="J71" s="143"/>
      <c r="K71" s="143"/>
      <c r="L71" s="143"/>
      <c r="M71" s="144"/>
      <c r="N71" s="93"/>
      <c r="O71" s="93"/>
      <c r="P71" s="93"/>
      <c r="Q71" s="165"/>
    </row>
    <row r="72" spans="2:17" s="35" customFormat="1" ht="15" customHeight="1">
      <c r="B72" s="164"/>
      <c r="C72" s="94"/>
      <c r="D72" s="94"/>
      <c r="E72" s="94"/>
      <c r="F72" s="94"/>
      <c r="G72" s="128" t="s">
        <v>109</v>
      </c>
      <c r="H72" s="129"/>
      <c r="I72" s="129"/>
      <c r="J72" s="129"/>
      <c r="K72" s="129"/>
      <c r="L72" s="129"/>
      <c r="M72" s="130"/>
      <c r="N72" s="146"/>
      <c r="O72" s="146"/>
      <c r="P72" s="146"/>
      <c r="Q72" s="165"/>
    </row>
    <row r="73" spans="2:17" s="35" customFormat="1" ht="15" customHeight="1">
      <c r="B73" s="164"/>
      <c r="C73" s="94"/>
      <c r="D73" s="94"/>
      <c r="E73" s="94"/>
      <c r="F73" s="94"/>
      <c r="G73" s="69" t="s">
        <v>28</v>
      </c>
      <c r="H73" s="70">
        <v>0</v>
      </c>
      <c r="I73" s="70">
        <v>1</v>
      </c>
      <c r="J73" s="70">
        <v>2</v>
      </c>
      <c r="K73" s="70">
        <v>3</v>
      </c>
      <c r="L73" s="70">
        <v>4</v>
      </c>
      <c r="M73" s="71">
        <v>5</v>
      </c>
      <c r="N73" s="93"/>
      <c r="O73" s="93"/>
      <c r="P73" s="93"/>
      <c r="Q73" s="165"/>
    </row>
    <row r="74" spans="2:17" s="35" customFormat="1" ht="15" customHeight="1">
      <c r="B74" s="164"/>
      <c r="C74" s="94"/>
      <c r="D74" s="94"/>
      <c r="E74" s="94"/>
      <c r="F74" s="94"/>
      <c r="G74" s="80" t="s">
        <v>52</v>
      </c>
      <c r="H74" s="40"/>
      <c r="I74" s="90">
        <v>8.2267077797058469E-2</v>
      </c>
      <c r="J74" s="90">
        <v>8.7636138633012603E-2</v>
      </c>
      <c r="K74" s="90">
        <v>9.314378791816047E-2</v>
      </c>
      <c r="L74" s="90">
        <v>9.879360295565362E-2</v>
      </c>
      <c r="M74" s="91">
        <v>0.10458925338749228</v>
      </c>
      <c r="N74" s="93"/>
      <c r="O74" s="93"/>
      <c r="P74" s="93"/>
      <c r="Q74" s="165"/>
    </row>
    <row r="75" spans="2:17" s="35" customFormat="1" ht="15" customHeight="1">
      <c r="B75" s="164"/>
      <c r="C75" s="94"/>
      <c r="D75" s="94"/>
      <c r="E75" s="94"/>
      <c r="F75" s="94"/>
      <c r="G75" s="72" t="s">
        <v>43</v>
      </c>
      <c r="H75" s="67">
        <f>H65</f>
        <v>-1000000</v>
      </c>
      <c r="I75" s="67">
        <f t="shared" ref="I75:M75" si="4">I69</f>
        <v>80082.943227033407</v>
      </c>
      <c r="J75" s="67">
        <f t="shared" si="4"/>
        <v>80082.943227033407</v>
      </c>
      <c r="K75" s="67">
        <f t="shared" si="4"/>
        <v>80082.943227033407</v>
      </c>
      <c r="L75" s="67">
        <f t="shared" si="4"/>
        <v>80082.943227033407</v>
      </c>
      <c r="M75" s="131">
        <f t="shared" si="4"/>
        <v>1817962.5996018867</v>
      </c>
      <c r="N75" s="93"/>
      <c r="O75" s="93"/>
      <c r="P75" s="93"/>
      <c r="Q75" s="165"/>
    </row>
    <row r="76" spans="2:17" s="35" customFormat="1" ht="15" customHeight="1">
      <c r="B76" s="164"/>
      <c r="C76" s="94"/>
      <c r="D76" s="94"/>
      <c r="E76" s="94"/>
      <c r="F76" s="94"/>
      <c r="G76" s="74" t="s">
        <v>44</v>
      </c>
      <c r="H76" s="64"/>
      <c r="I76" s="65">
        <f>-$D$67*$H$6</f>
        <v>80000</v>
      </c>
      <c r="J76" s="65">
        <f>-$D$67*$H$6</f>
        <v>80000</v>
      </c>
      <c r="K76" s="65">
        <f>-$D$67*$H$6</f>
        <v>80000</v>
      </c>
      <c r="L76" s="65">
        <f>-$D$67*$H$6</f>
        <v>80000</v>
      </c>
      <c r="M76" s="75">
        <f>-$D$67*$H$6-H75+IF(I77&lt;0,-I77,0)+IF(J77&lt;0,-J77,0)+IF(K77&lt;0,-K77,0)+IF(L77&lt;0,-L77,0)</f>
        <v>1080000</v>
      </c>
      <c r="N76" s="93"/>
      <c r="O76" s="93"/>
      <c r="P76" s="93"/>
      <c r="Q76" s="165"/>
    </row>
    <row r="77" spans="2:17" s="35" customFormat="1" ht="15" customHeight="1">
      <c r="B77" s="164"/>
      <c r="C77" s="94"/>
      <c r="D77" s="94"/>
      <c r="E77" s="94"/>
      <c r="F77" s="94"/>
      <c r="G77" s="76" t="s">
        <v>39</v>
      </c>
      <c r="H77" s="39"/>
      <c r="I77" s="38">
        <f>I75-I76</f>
        <v>82.943227033407311</v>
      </c>
      <c r="J77" s="38">
        <f>J75-J76</f>
        <v>82.943227033407311</v>
      </c>
      <c r="K77" s="38">
        <f>K75-K76</f>
        <v>82.943227033407311</v>
      </c>
      <c r="L77" s="38">
        <f>L75-L76</f>
        <v>82.943227033407311</v>
      </c>
      <c r="M77" s="77">
        <f>M75-M76</f>
        <v>737962.5996018867</v>
      </c>
      <c r="N77" s="93"/>
      <c r="O77" s="93"/>
      <c r="P77" s="93"/>
      <c r="Q77" s="165"/>
    </row>
    <row r="78" spans="2:17" ht="15" customHeight="1" thickBot="1">
      <c r="B78" s="164"/>
      <c r="C78" s="94"/>
      <c r="D78" s="94"/>
      <c r="E78" s="94"/>
      <c r="F78" s="94"/>
      <c r="G78" s="132" t="s">
        <v>58</v>
      </c>
      <c r="H78" s="39"/>
      <c r="I78" s="38">
        <f>I77*(1-$D$69)</f>
        <v>70.501742978396209</v>
      </c>
      <c r="J78" s="38">
        <f>J77*(1-$D$69)</f>
        <v>70.501742978396209</v>
      </c>
      <c r="K78" s="38">
        <f>K77*(1-$D$69)</f>
        <v>70.501742978396209</v>
      </c>
      <c r="L78" s="38">
        <f>L77*(1-$D$69)</f>
        <v>70.501742978396209</v>
      </c>
      <c r="M78" s="77">
        <f>M77*(1-$D$69)</f>
        <v>627268.20966160367</v>
      </c>
      <c r="N78" s="93"/>
      <c r="O78" s="93"/>
      <c r="P78" s="93"/>
      <c r="Q78" s="165"/>
    </row>
    <row r="79" spans="2:17" ht="15" customHeight="1">
      <c r="B79" s="164"/>
      <c r="C79" s="94"/>
      <c r="D79" s="94"/>
      <c r="E79" s="94"/>
      <c r="F79" s="94"/>
      <c r="G79" s="132" t="s">
        <v>59</v>
      </c>
      <c r="H79" s="39"/>
      <c r="I79" s="38">
        <f>I77-I78</f>
        <v>12.441484055011102</v>
      </c>
      <c r="J79" s="38">
        <f>J77-J78</f>
        <v>12.441484055011102</v>
      </c>
      <c r="K79" s="38">
        <f>K77-K78</f>
        <v>12.441484055011102</v>
      </c>
      <c r="L79" s="38">
        <f>L77-L78</f>
        <v>12.441484055011102</v>
      </c>
      <c r="M79" s="77">
        <f>M77-M78</f>
        <v>110694.38994028303</v>
      </c>
      <c r="N79" s="93"/>
      <c r="O79" s="110" t="s">
        <v>49</v>
      </c>
      <c r="P79" s="111">
        <f>AVERAGE(I82:L82)/-H75</f>
        <v>8.0070501742978389E-2</v>
      </c>
      <c r="Q79" s="165"/>
    </row>
    <row r="80" spans="2:17" ht="15" customHeight="1">
      <c r="B80" s="164"/>
      <c r="C80" s="94"/>
      <c r="D80" s="94"/>
      <c r="E80" s="94"/>
      <c r="F80" s="94"/>
      <c r="G80" s="76"/>
      <c r="H80" s="39"/>
      <c r="I80" s="39"/>
      <c r="J80" s="39"/>
      <c r="K80" s="39"/>
      <c r="L80" s="39"/>
      <c r="M80" s="77"/>
      <c r="N80" s="93"/>
      <c r="O80" s="112" t="s">
        <v>50</v>
      </c>
      <c r="P80" s="113">
        <f>-SUM(I82:M82)/H82</f>
        <v>2.0275502166335171</v>
      </c>
      <c r="Q80" s="165"/>
    </row>
    <row r="81" spans="2:17" ht="15" customHeight="1">
      <c r="B81" s="164"/>
      <c r="C81" s="94"/>
      <c r="D81" s="94"/>
      <c r="E81" s="94"/>
      <c r="F81" s="94"/>
      <c r="G81" s="133"/>
      <c r="H81" s="134"/>
      <c r="I81" s="134"/>
      <c r="J81" s="134"/>
      <c r="K81" s="134"/>
      <c r="L81" s="134"/>
      <c r="M81" s="135"/>
      <c r="N81" s="93"/>
      <c r="O81" s="112" t="s">
        <v>51</v>
      </c>
      <c r="P81" s="114">
        <f>(SUM(H82:M82)/5)/E15</f>
        <v>0.20551004332670342</v>
      </c>
      <c r="Q81" s="165"/>
    </row>
    <row r="82" spans="2:17" ht="15" customHeight="1" thickBot="1">
      <c r="B82" s="164"/>
      <c r="C82" s="94"/>
      <c r="D82" s="94"/>
      <c r="E82" s="94"/>
      <c r="F82" s="94"/>
      <c r="G82" s="78" t="s">
        <v>40</v>
      </c>
      <c r="H82" s="66">
        <f>SUM(H75:H81)</f>
        <v>-1000000</v>
      </c>
      <c r="I82" s="66">
        <f>IF(I77&gt;0,I76+I78+I80,I76+I77)</f>
        <v>80070.501742978391</v>
      </c>
      <c r="J82" s="66">
        <f>IF(J77&gt;0,J76+J78+J80,J76+J77)</f>
        <v>80070.501742978391</v>
      </c>
      <c r="K82" s="66">
        <f>IF(K77&gt;0,K76+K78+K80,K76+K77)</f>
        <v>80070.501742978391</v>
      </c>
      <c r="L82" s="66">
        <f>IF(L77&gt;0,L76+L78+L80,L76+L77)</f>
        <v>80070.501742978391</v>
      </c>
      <c r="M82" s="79">
        <f>M76+M78+M80</f>
        <v>1707268.2096616037</v>
      </c>
      <c r="N82" s="93"/>
      <c r="O82" s="115" t="s">
        <v>3</v>
      </c>
      <c r="P82" s="116">
        <f>IRR(H82:M82)</f>
        <v>0.16956337153452927</v>
      </c>
      <c r="Q82" s="165"/>
    </row>
    <row r="83" spans="2:17" ht="15" customHeight="1">
      <c r="B83" s="164"/>
      <c r="C83" s="94"/>
      <c r="D83" s="94"/>
      <c r="E83" s="94"/>
      <c r="F83" s="94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165"/>
    </row>
    <row r="84" spans="2:17" ht="15" customHeight="1">
      <c r="B84" s="164"/>
      <c r="C84" s="94"/>
      <c r="D84" s="94"/>
      <c r="E84" s="94"/>
      <c r="F84" s="94"/>
      <c r="G84" s="93"/>
      <c r="H84" s="93"/>
      <c r="I84" s="93"/>
      <c r="J84" s="93"/>
      <c r="K84" s="93"/>
      <c r="L84" s="93"/>
      <c r="M84" s="93"/>
      <c r="N84" s="93"/>
      <c r="O84" s="93"/>
      <c r="P84" s="3"/>
      <c r="Q84" s="165"/>
    </row>
    <row r="85" spans="2:17" ht="15" customHeight="1" thickBot="1">
      <c r="B85" s="164"/>
      <c r="C85" s="94"/>
      <c r="D85" s="94"/>
      <c r="E85" s="94"/>
      <c r="F85" s="94"/>
      <c r="G85" s="82" t="s">
        <v>23</v>
      </c>
      <c r="H85" s="138"/>
      <c r="I85" s="138"/>
      <c r="J85" s="138"/>
      <c r="K85" s="138"/>
      <c r="L85" s="138"/>
      <c r="M85" s="139"/>
      <c r="N85" s="93"/>
      <c r="O85" s="93"/>
      <c r="P85" s="93"/>
      <c r="Q85" s="165"/>
    </row>
    <row r="86" spans="2:17" ht="15" customHeight="1">
      <c r="B86" s="164"/>
      <c r="C86" s="94"/>
      <c r="D86" s="94"/>
      <c r="E86" s="94"/>
      <c r="F86" s="94"/>
      <c r="G86" s="117" t="s">
        <v>1</v>
      </c>
      <c r="H86" s="83">
        <f>H51</f>
        <v>25000</v>
      </c>
      <c r="I86" s="3"/>
      <c r="J86" s="3"/>
      <c r="K86" s="3"/>
      <c r="L86" s="3"/>
      <c r="M86" s="140"/>
      <c r="N86" s="93"/>
      <c r="O86" s="246" t="s">
        <v>108</v>
      </c>
      <c r="P86" s="243" t="s">
        <v>26</v>
      </c>
      <c r="Q86" s="165"/>
    </row>
    <row r="87" spans="2:17" ht="15.75" customHeight="1">
      <c r="B87" s="164"/>
      <c r="C87" s="94"/>
      <c r="D87" s="94"/>
      <c r="E87" s="94"/>
      <c r="F87" s="94"/>
      <c r="G87" s="118" t="s">
        <v>24</v>
      </c>
      <c r="H87" s="83">
        <f>H67</f>
        <v>0</v>
      </c>
      <c r="I87" s="83">
        <f>-I68</f>
        <v>600</v>
      </c>
      <c r="J87" s="83">
        <f>-J68</f>
        <v>600</v>
      </c>
      <c r="K87" s="83">
        <f>-K68</f>
        <v>600</v>
      </c>
      <c r="L87" s="83">
        <f>-L68</f>
        <v>600</v>
      </c>
      <c r="M87" s="141">
        <f>-M68</f>
        <v>600</v>
      </c>
      <c r="N87" s="93"/>
      <c r="O87" s="247"/>
      <c r="P87" s="244"/>
      <c r="Q87" s="165"/>
    </row>
    <row r="88" spans="2:17" ht="15.75" customHeight="1" thickBot="1">
      <c r="B88" s="164"/>
      <c r="C88" s="94"/>
      <c r="D88" s="94"/>
      <c r="E88" s="94"/>
      <c r="F88" s="94"/>
      <c r="G88" s="119" t="s">
        <v>0</v>
      </c>
      <c r="H88" s="142"/>
      <c r="I88" s="83">
        <f>I79</f>
        <v>12.441484055011102</v>
      </c>
      <c r="J88" s="83">
        <f>J79</f>
        <v>12.441484055011102</v>
      </c>
      <c r="K88" s="83">
        <f>K79</f>
        <v>12.441484055011102</v>
      </c>
      <c r="L88" s="83">
        <f>L79</f>
        <v>12.441484055011102</v>
      </c>
      <c r="M88" s="141">
        <f>M79</f>
        <v>110694.38994028303</v>
      </c>
      <c r="N88" s="93"/>
      <c r="O88" s="248"/>
      <c r="P88" s="245"/>
      <c r="Q88" s="165"/>
    </row>
    <row r="89" spans="2:17" ht="15.75" customHeight="1" thickTop="1" thickBot="1">
      <c r="B89" s="164"/>
      <c r="C89" s="94"/>
      <c r="D89" s="94"/>
      <c r="E89" s="94"/>
      <c r="F89" s="94"/>
      <c r="G89" s="120" t="s">
        <v>25</v>
      </c>
      <c r="H89" s="86">
        <f t="shared" ref="H89:M89" si="5">SUM(H86:H88)</f>
        <v>25000</v>
      </c>
      <c r="I89" s="86">
        <f t="shared" si="5"/>
        <v>612.44148405501107</v>
      </c>
      <c r="J89" s="86">
        <f t="shared" si="5"/>
        <v>612.44148405501107</v>
      </c>
      <c r="K89" s="86">
        <f t="shared" si="5"/>
        <v>612.44148405501107</v>
      </c>
      <c r="L89" s="86">
        <f t="shared" si="5"/>
        <v>612.44148405501107</v>
      </c>
      <c r="M89" s="87">
        <f t="shared" si="5"/>
        <v>111294.38994028303</v>
      </c>
      <c r="N89" s="93"/>
      <c r="O89" s="108">
        <f>SUM(H89:M89)</f>
        <v>138744.15587650309</v>
      </c>
      <c r="P89" s="109">
        <f>O89/$E$15</f>
        <v>0.1387441558765031</v>
      </c>
      <c r="Q89" s="165"/>
    </row>
    <row r="90" spans="2:17" ht="8.25" customHeight="1" thickBot="1">
      <c r="B90" s="166"/>
      <c r="C90" s="167"/>
      <c r="D90" s="167"/>
      <c r="E90" s="167"/>
      <c r="F90" s="167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69"/>
    </row>
    <row r="91" spans="2:17" ht="15.75" customHeight="1">
      <c r="C91" s="36"/>
      <c r="D91" s="36"/>
      <c r="E91" s="36"/>
      <c r="F91" s="36"/>
      <c r="G91" s="35"/>
      <c r="H91" s="35"/>
      <c r="I91" s="35"/>
      <c r="J91" s="35"/>
      <c r="K91" s="35"/>
      <c r="L91" s="35"/>
      <c r="M91" s="35"/>
      <c r="O91" s="35"/>
      <c r="P91" s="35"/>
    </row>
    <row r="92" spans="2:17" ht="15.75" customHeight="1">
      <c r="C92" s="36"/>
      <c r="D92" s="36"/>
      <c r="E92" s="36"/>
      <c r="F92" s="36"/>
      <c r="G92" s="35"/>
      <c r="H92" s="35"/>
      <c r="I92" s="35"/>
      <c r="J92" s="35"/>
      <c r="K92" s="35"/>
      <c r="L92" s="35"/>
      <c r="M92" s="35"/>
      <c r="O92" s="35"/>
      <c r="P92" s="35"/>
    </row>
    <row r="93" spans="2:17" ht="15.75" customHeight="1">
      <c r="C93" s="36"/>
      <c r="D93" s="36"/>
      <c r="E93" s="36"/>
      <c r="F93" s="36"/>
      <c r="G93" s="35"/>
      <c r="H93" s="35"/>
      <c r="I93" s="193">
        <f>I35/-$H$6</f>
        <v>0.08</v>
      </c>
      <c r="J93" s="193">
        <f>J35/-$H$6</f>
        <v>0.08</v>
      </c>
      <c r="K93" s="193">
        <f>K35/-$H$6</f>
        <v>0.08</v>
      </c>
      <c r="L93" s="193">
        <f>L35/-$H$6</f>
        <v>0.08</v>
      </c>
      <c r="M93" s="193">
        <f>M35/-$H$6</f>
        <v>1.8178796563748534</v>
      </c>
      <c r="O93" s="35"/>
      <c r="P93" s="35"/>
    </row>
    <row r="94" spans="2:17" ht="15.75" customHeight="1">
      <c r="C94" s="36"/>
      <c r="D94" s="36"/>
      <c r="E94" s="36"/>
      <c r="F94" s="36"/>
      <c r="G94" s="35"/>
      <c r="H94" s="35"/>
      <c r="I94" s="121"/>
      <c r="J94" s="121"/>
      <c r="K94" s="121"/>
      <c r="L94" s="121"/>
      <c r="M94" s="121"/>
      <c r="O94" s="35"/>
      <c r="P94" s="35"/>
    </row>
    <row r="95" spans="2:17" ht="15.75" customHeight="1">
      <c r="C95" s="36"/>
      <c r="D95" s="36"/>
      <c r="E95" s="36"/>
      <c r="F95" s="36"/>
      <c r="G95" s="35"/>
      <c r="H95" s="35"/>
      <c r="I95" s="35"/>
      <c r="J95" s="35"/>
      <c r="K95" s="35"/>
      <c r="L95" s="35"/>
      <c r="M95" s="35"/>
      <c r="O95" s="35"/>
      <c r="P95" s="35"/>
    </row>
    <row r="96" spans="2:17" ht="15.75" customHeight="1">
      <c r="C96" s="36"/>
      <c r="D96" s="36"/>
      <c r="E96" s="36"/>
      <c r="F96" s="36"/>
      <c r="G96" s="35"/>
      <c r="H96" s="35"/>
      <c r="I96" s="35"/>
      <c r="J96" s="35"/>
      <c r="K96" s="35"/>
      <c r="L96" s="35"/>
      <c r="M96" s="35"/>
      <c r="O96" s="35"/>
      <c r="P96" s="35"/>
    </row>
    <row r="97" spans="3:16" ht="15.75" customHeight="1">
      <c r="C97" s="36"/>
      <c r="D97" s="36"/>
      <c r="E97" s="36"/>
      <c r="F97" s="36"/>
      <c r="G97" s="35"/>
      <c r="H97" s="35"/>
      <c r="I97" s="35"/>
      <c r="J97" s="35"/>
      <c r="K97" s="35"/>
      <c r="L97" s="35"/>
      <c r="M97" s="35"/>
      <c r="O97" s="35"/>
      <c r="P97" s="35"/>
    </row>
    <row r="98" spans="3:16" ht="15.75" customHeight="1">
      <c r="C98" s="36"/>
      <c r="D98" s="36"/>
      <c r="E98" s="36"/>
      <c r="F98" s="36"/>
      <c r="G98" s="35"/>
      <c r="H98" s="35"/>
      <c r="I98" s="35"/>
      <c r="J98" s="35"/>
      <c r="K98" s="35"/>
      <c r="L98" s="35"/>
      <c r="M98" s="35"/>
      <c r="O98" s="35"/>
      <c r="P98" s="35"/>
    </row>
    <row r="99" spans="3:16" ht="15.75" customHeight="1">
      <c r="C99" s="36"/>
      <c r="D99" s="36"/>
      <c r="E99" s="36"/>
      <c r="F99" s="36"/>
      <c r="G99" s="35"/>
      <c r="H99" s="35"/>
      <c r="I99" s="35"/>
      <c r="J99" s="35"/>
      <c r="K99" s="35"/>
      <c r="L99" s="35"/>
      <c r="M99" s="35"/>
      <c r="O99" s="35"/>
      <c r="P99" s="35"/>
    </row>
    <row r="100" spans="3:16" ht="15.75" customHeight="1">
      <c r="C100" s="36"/>
      <c r="D100" s="36"/>
      <c r="E100" s="36"/>
      <c r="F100" s="36"/>
      <c r="G100" s="35"/>
      <c r="H100" s="35"/>
      <c r="I100" s="35"/>
      <c r="J100" s="35"/>
      <c r="K100" s="35"/>
      <c r="L100" s="35"/>
      <c r="M100" s="35"/>
      <c r="O100" s="35"/>
      <c r="P100" s="35"/>
    </row>
    <row r="101" spans="3:16" ht="15.75" customHeight="1">
      <c r="C101" s="36"/>
      <c r="D101" s="36"/>
      <c r="E101" s="36"/>
      <c r="F101" s="36"/>
      <c r="G101" s="35"/>
      <c r="H101" s="35"/>
      <c r="I101" s="35"/>
      <c r="J101" s="35"/>
      <c r="K101" s="35"/>
      <c r="L101" s="35"/>
      <c r="M101" s="35"/>
      <c r="O101" s="35"/>
      <c r="P101" s="35"/>
    </row>
    <row r="102" spans="3:16" ht="15.75" customHeight="1">
      <c r="C102" s="36"/>
      <c r="D102" s="36"/>
      <c r="E102" s="36"/>
      <c r="F102" s="36"/>
      <c r="G102" s="35"/>
      <c r="H102" s="35"/>
      <c r="I102" s="35"/>
      <c r="J102" s="35"/>
      <c r="K102" s="35"/>
      <c r="L102" s="35"/>
      <c r="M102" s="35"/>
      <c r="O102" s="35"/>
      <c r="P102" s="35"/>
    </row>
    <row r="103" spans="3:16" ht="15.75" customHeight="1">
      <c r="C103" s="36"/>
      <c r="D103" s="36"/>
      <c r="E103" s="36"/>
      <c r="F103" s="36"/>
      <c r="G103" s="35"/>
      <c r="H103" s="35"/>
      <c r="I103" s="35"/>
      <c r="J103" s="35"/>
      <c r="K103" s="35"/>
      <c r="L103" s="35"/>
      <c r="M103" s="35"/>
      <c r="O103" s="35"/>
      <c r="P103" s="35"/>
    </row>
    <row r="104" spans="3:16" ht="15.75" customHeight="1">
      <c r="C104" s="36"/>
      <c r="D104" s="36"/>
      <c r="E104" s="36"/>
      <c r="F104" s="36"/>
      <c r="G104" s="35"/>
      <c r="H104" s="35"/>
      <c r="I104" s="35"/>
      <c r="J104" s="35"/>
      <c r="K104" s="35"/>
      <c r="L104" s="35"/>
      <c r="M104" s="35"/>
      <c r="O104" s="35"/>
      <c r="P104" s="35"/>
    </row>
    <row r="105" spans="3:16" ht="15.75" customHeight="1">
      <c r="C105" s="36"/>
      <c r="D105" s="36"/>
      <c r="E105" s="36"/>
      <c r="F105" s="36"/>
      <c r="G105" s="35"/>
      <c r="H105" s="35"/>
      <c r="I105" s="35"/>
      <c r="J105" s="35"/>
      <c r="K105" s="35"/>
      <c r="L105" s="35"/>
      <c r="M105" s="35"/>
      <c r="O105" s="35"/>
      <c r="P105" s="35"/>
    </row>
    <row r="106" spans="3:16" ht="15.75" customHeight="1">
      <c r="C106" s="36"/>
      <c r="D106" s="36"/>
      <c r="E106" s="36"/>
      <c r="F106" s="36"/>
      <c r="G106" s="35"/>
      <c r="H106" s="35"/>
      <c r="I106" s="35"/>
      <c r="J106" s="35"/>
      <c r="K106" s="35"/>
      <c r="L106" s="35"/>
      <c r="M106" s="35"/>
      <c r="O106" s="35"/>
      <c r="P106" s="35"/>
    </row>
    <row r="107" spans="3:16" ht="15.75" customHeight="1">
      <c r="C107" s="36"/>
      <c r="D107" s="36"/>
      <c r="E107" s="36"/>
      <c r="F107" s="36"/>
      <c r="G107" s="35"/>
      <c r="H107" s="35"/>
      <c r="I107" s="35"/>
      <c r="J107" s="35"/>
      <c r="K107" s="35"/>
      <c r="L107" s="35"/>
      <c r="M107" s="35"/>
      <c r="O107" s="35"/>
      <c r="P107" s="35"/>
    </row>
    <row r="108" spans="3:16" ht="15.75" customHeight="1">
      <c r="C108" s="36"/>
      <c r="D108" s="36"/>
      <c r="E108" s="36"/>
      <c r="F108" s="36"/>
      <c r="G108" s="35"/>
      <c r="H108" s="35"/>
      <c r="I108" s="35"/>
      <c r="J108" s="35"/>
      <c r="K108" s="35"/>
      <c r="L108" s="35"/>
      <c r="M108" s="35"/>
      <c r="O108" s="35"/>
      <c r="P108" s="35"/>
    </row>
    <row r="109" spans="3:16" ht="15.75" customHeight="1">
      <c r="C109" s="2"/>
      <c r="D109" s="2"/>
      <c r="E109" s="2"/>
      <c r="F109" s="36"/>
      <c r="G109" s="35"/>
      <c r="H109" s="35"/>
      <c r="I109" s="35"/>
      <c r="J109" s="35"/>
      <c r="K109" s="35"/>
      <c r="L109" s="35"/>
      <c r="M109" s="35"/>
      <c r="O109" s="35"/>
      <c r="P109" s="35"/>
    </row>
    <row r="110" spans="3:16" ht="15.75" customHeight="1">
      <c r="C110" s="2"/>
      <c r="D110" s="2"/>
      <c r="E110" s="2"/>
      <c r="F110" s="36"/>
      <c r="G110" s="35"/>
      <c r="H110" s="35"/>
      <c r="I110" s="35"/>
      <c r="J110" s="35"/>
      <c r="K110" s="35"/>
      <c r="L110" s="35"/>
      <c r="M110" s="35"/>
      <c r="O110" s="35"/>
      <c r="P110" s="35"/>
    </row>
    <row r="111" spans="3:16" ht="15.75" customHeight="1">
      <c r="C111" s="2"/>
      <c r="D111" s="2"/>
      <c r="E111" s="2"/>
      <c r="F111" s="36"/>
      <c r="G111" s="35"/>
      <c r="H111" s="35"/>
      <c r="I111" s="35"/>
      <c r="J111" s="35"/>
      <c r="K111" s="35"/>
      <c r="L111" s="35"/>
      <c r="M111" s="35"/>
      <c r="O111" s="35"/>
      <c r="P111" s="35"/>
    </row>
    <row r="112" spans="3:16" ht="15.75" customHeight="1">
      <c r="C112" s="2"/>
      <c r="D112" s="2"/>
      <c r="E112" s="2"/>
      <c r="F112" s="36"/>
      <c r="G112" s="35"/>
      <c r="H112" s="35"/>
      <c r="I112" s="35"/>
      <c r="J112" s="35"/>
      <c r="K112" s="35"/>
      <c r="L112" s="35"/>
      <c r="M112" s="35"/>
      <c r="O112" s="35"/>
      <c r="P112" s="35"/>
    </row>
    <row r="113" spans="3:16" ht="15.75" customHeight="1">
      <c r="C113" s="2"/>
      <c r="D113" s="2"/>
      <c r="E113" s="2"/>
      <c r="F113" s="36"/>
      <c r="G113" s="35"/>
      <c r="H113" s="35"/>
      <c r="I113" s="35"/>
      <c r="J113" s="35"/>
      <c r="K113" s="35"/>
      <c r="L113" s="35"/>
      <c r="M113" s="35"/>
      <c r="O113" s="35"/>
      <c r="P113" s="35"/>
    </row>
    <row r="114" spans="3:16" ht="15.75" customHeight="1">
      <c r="C114" s="2"/>
      <c r="D114" s="2"/>
      <c r="E114" s="2"/>
      <c r="F114" s="36"/>
      <c r="G114" s="35"/>
      <c r="H114" s="35"/>
      <c r="I114" s="35"/>
      <c r="J114" s="35"/>
      <c r="K114" s="35"/>
      <c r="L114" s="35"/>
      <c r="M114" s="35"/>
      <c r="O114" s="35"/>
      <c r="P114" s="35"/>
    </row>
    <row r="115" spans="3:16" ht="15.75" customHeight="1">
      <c r="C115" s="2"/>
      <c r="D115" s="2"/>
      <c r="E115" s="2"/>
      <c r="F115" s="36"/>
      <c r="G115" s="35"/>
      <c r="H115" s="35"/>
      <c r="I115" s="35"/>
      <c r="J115" s="35"/>
      <c r="K115" s="35"/>
      <c r="L115" s="35"/>
      <c r="M115" s="35"/>
      <c r="O115" s="35"/>
      <c r="P115" s="35"/>
    </row>
    <row r="116" spans="3:16" ht="15.75" customHeight="1">
      <c r="C116" s="2"/>
      <c r="D116" s="2"/>
      <c r="E116" s="2"/>
      <c r="F116" s="36"/>
      <c r="G116" s="35"/>
      <c r="H116" s="35"/>
      <c r="I116" s="35"/>
      <c r="J116" s="35"/>
      <c r="K116" s="35"/>
      <c r="L116" s="35"/>
      <c r="M116" s="35"/>
      <c r="O116" s="35"/>
      <c r="P116" s="35"/>
    </row>
    <row r="117" spans="3:16" ht="15.75" customHeight="1">
      <c r="C117" s="2"/>
      <c r="D117" s="2"/>
      <c r="E117" s="2"/>
      <c r="F117" s="36"/>
      <c r="G117" s="35"/>
      <c r="H117" s="35"/>
      <c r="I117" s="35"/>
      <c r="J117" s="35"/>
      <c r="K117" s="35"/>
      <c r="L117" s="35"/>
      <c r="M117" s="35"/>
      <c r="O117" s="35"/>
      <c r="P117" s="35"/>
    </row>
    <row r="118" spans="3:16" ht="15.75" customHeight="1">
      <c r="C118" s="2"/>
      <c r="D118" s="2"/>
      <c r="E118" s="2"/>
      <c r="F118" s="36"/>
      <c r="G118" s="35"/>
      <c r="H118" s="35"/>
      <c r="I118" s="35"/>
      <c r="J118" s="35"/>
      <c r="K118" s="35"/>
      <c r="L118" s="35"/>
      <c r="M118" s="35"/>
      <c r="O118" s="35"/>
      <c r="P118" s="35"/>
    </row>
    <row r="119" spans="3:16" ht="15.75" customHeight="1">
      <c r="C119" s="2"/>
      <c r="D119" s="2"/>
      <c r="E119" s="2"/>
      <c r="F119" s="36"/>
      <c r="G119" s="35"/>
      <c r="H119" s="35"/>
      <c r="I119" s="35"/>
      <c r="J119" s="35"/>
      <c r="K119" s="35"/>
      <c r="L119" s="35"/>
      <c r="M119" s="35"/>
      <c r="O119" s="35"/>
      <c r="P119" s="35"/>
    </row>
    <row r="120" spans="3:16" ht="15.75" customHeight="1">
      <c r="C120" s="2"/>
      <c r="D120" s="2"/>
      <c r="E120" s="2"/>
      <c r="F120" s="36"/>
    </row>
    <row r="121" spans="3:16" ht="15.75" customHeight="1">
      <c r="C121" s="2"/>
      <c r="D121" s="2"/>
      <c r="E121" s="2"/>
      <c r="F121" s="36"/>
    </row>
    <row r="122" spans="3:16" ht="15.75" customHeight="1">
      <c r="C122" s="2"/>
      <c r="D122" s="2"/>
      <c r="E122" s="2"/>
      <c r="F122" s="36"/>
    </row>
    <row r="123" spans="3:16" ht="15.75" customHeight="1">
      <c r="C123" s="2"/>
      <c r="D123" s="2"/>
      <c r="E123" s="2"/>
      <c r="F123" s="36"/>
    </row>
    <row r="124" spans="3:16" ht="15.75" customHeight="1">
      <c r="C124" s="2"/>
      <c r="D124" s="2"/>
      <c r="E124" s="2"/>
      <c r="F124" s="36"/>
    </row>
    <row r="125" spans="3:16" ht="15.75" customHeight="1">
      <c r="C125" s="2"/>
      <c r="D125" s="2"/>
      <c r="E125" s="2"/>
      <c r="F125" s="36"/>
    </row>
    <row r="126" spans="3:16" ht="15.75" customHeight="1">
      <c r="C126" s="2"/>
      <c r="D126" s="2"/>
      <c r="E126" s="2"/>
      <c r="F126" s="36"/>
    </row>
    <row r="127" spans="3:16" ht="15.75" customHeight="1">
      <c r="C127" s="2"/>
      <c r="D127" s="2"/>
      <c r="E127" s="2"/>
      <c r="F127" s="36"/>
    </row>
    <row r="128" spans="3:16" ht="15.75" customHeight="1">
      <c r="C128" s="2"/>
      <c r="D128" s="2"/>
      <c r="E128" s="2"/>
      <c r="F128" s="36"/>
    </row>
    <row r="129" spans="3:6" ht="15.75" customHeight="1">
      <c r="C129" s="2"/>
      <c r="D129" s="2"/>
      <c r="E129" s="2"/>
      <c r="F129" s="36"/>
    </row>
    <row r="130" spans="3:6" ht="15.75" customHeight="1">
      <c r="C130" s="2"/>
      <c r="D130" s="2"/>
      <c r="E130" s="2"/>
      <c r="F130" s="36"/>
    </row>
    <row r="131" spans="3:6" ht="15.75" customHeight="1">
      <c r="C131" s="2"/>
      <c r="D131" s="2"/>
      <c r="E131" s="2"/>
      <c r="F131" s="36"/>
    </row>
    <row r="132" spans="3:6" ht="15.75" customHeight="1"/>
    <row r="133" spans="3:6" ht="15.75" customHeight="1"/>
    <row r="134" spans="3:6" ht="15.75" customHeight="1"/>
    <row r="135" spans="3:6" ht="15.75" customHeight="1"/>
    <row r="136" spans="3:6" ht="15.75" customHeight="1"/>
    <row r="137" spans="3:6" ht="15.75" customHeight="1"/>
    <row r="138" spans="3:6" ht="15.75" customHeight="1"/>
    <row r="139" spans="3:6" ht="15.75" customHeight="1"/>
    <row r="140" spans="3:6" ht="15.75" customHeight="1"/>
    <row r="141" spans="3:6" ht="15.75" customHeight="1"/>
    <row r="142" spans="3:6" ht="15.75" customHeight="1"/>
    <row r="143" spans="3:6" ht="15.75" customHeight="1"/>
    <row r="144" spans="3:6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</sheetData>
  <dataConsolidate/>
  <mergeCells count="6">
    <mergeCell ref="P86:P88"/>
    <mergeCell ref="O86:O88"/>
    <mergeCell ref="O44:O47"/>
    <mergeCell ref="P44:P47"/>
    <mergeCell ref="O50:O53"/>
    <mergeCell ref="P50:P53"/>
  </mergeCells>
  <pageMargins left="0.7" right="0.7" top="0.75" bottom="0.75" header="0" footer="0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14D5A-E695-443D-8E49-2560043CBF66}">
  <dimension ref="A1:AT57"/>
  <sheetViews>
    <sheetView zoomScale="120" zoomScaleNormal="120" workbookViewId="0">
      <selection activeCell="H24" sqref="H24"/>
    </sheetView>
  </sheetViews>
  <sheetFormatPr defaultRowHeight="15"/>
  <cols>
    <col min="1" max="1" width="9.140625" style="35"/>
    <col min="2" max="2" width="6.7109375" customWidth="1"/>
    <col min="4" max="4" width="10" customWidth="1"/>
    <col min="5" max="5" width="6.140625" customWidth="1"/>
    <col min="6" max="6" width="10" customWidth="1"/>
    <col min="7" max="7" width="6.140625" customWidth="1"/>
    <col min="8" max="8" width="10" customWidth="1"/>
    <col min="9" max="9" width="6.140625" customWidth="1"/>
    <col min="10" max="10" width="10" customWidth="1"/>
    <col min="11" max="46" width="9.140625" style="35"/>
  </cols>
  <sheetData>
    <row r="1" spans="2:10" s="35" customFormat="1"/>
    <row r="2" spans="2:10" s="35" customFormat="1" ht="15.75" thickBot="1"/>
    <row r="3" spans="2:10">
      <c r="B3" s="256" t="s">
        <v>33</v>
      </c>
      <c r="C3" s="257"/>
      <c r="D3" s="257"/>
      <c r="E3" s="257"/>
      <c r="F3" s="257"/>
      <c r="G3" s="257"/>
      <c r="H3" s="257"/>
      <c r="I3" s="257"/>
      <c r="J3" s="258"/>
    </row>
    <row r="4" spans="2:10">
      <c r="B4" s="51"/>
      <c r="C4" s="45"/>
      <c r="D4" s="251" t="s">
        <v>32</v>
      </c>
      <c r="E4" s="252"/>
      <c r="F4" s="252"/>
      <c r="G4" s="252"/>
      <c r="H4" s="252"/>
      <c r="I4" s="252"/>
      <c r="J4" s="253"/>
    </row>
    <row r="5" spans="2:10">
      <c r="B5" s="1"/>
      <c r="C5" s="50"/>
      <c r="D5" s="52">
        <v>0.5</v>
      </c>
      <c r="E5" s="52"/>
      <c r="F5" s="52">
        <v>1</v>
      </c>
      <c r="G5" s="52"/>
      <c r="H5" s="52">
        <v>1.5</v>
      </c>
      <c r="I5" s="52"/>
      <c r="J5" s="53">
        <v>2</v>
      </c>
    </row>
    <row r="6" spans="2:10">
      <c r="B6" s="254" t="s">
        <v>31</v>
      </c>
      <c r="C6" s="47"/>
      <c r="D6" s="54"/>
      <c r="E6" s="54"/>
      <c r="F6" s="62"/>
      <c r="G6" s="54"/>
      <c r="H6" s="54"/>
      <c r="I6" s="54"/>
      <c r="J6" s="55"/>
    </row>
    <row r="7" spans="2:10">
      <c r="B7" s="254"/>
      <c r="C7" s="47">
        <v>0.15</v>
      </c>
      <c r="D7" s="62">
        <v>9.2527710232775007E-2</v>
      </c>
      <c r="E7" s="62"/>
      <c r="F7" s="62">
        <v>9.2527710232775007E-2</v>
      </c>
      <c r="G7" s="62"/>
      <c r="H7" s="62">
        <v>9.2527710232774937E-2</v>
      </c>
      <c r="I7" s="62"/>
      <c r="J7" s="61">
        <v>9.2527710232775007E-2</v>
      </c>
    </row>
    <row r="8" spans="2:10">
      <c r="B8" s="254"/>
      <c r="C8" s="48"/>
      <c r="D8" s="62"/>
      <c r="E8" s="62"/>
      <c r="F8" s="62"/>
      <c r="G8" s="62"/>
      <c r="H8" s="62"/>
      <c r="I8" s="62"/>
      <c r="J8" s="61"/>
    </row>
    <row r="9" spans="2:10">
      <c r="B9" s="254"/>
      <c r="C9" s="48">
        <v>0.2</v>
      </c>
      <c r="D9" s="62">
        <v>0.14620843757652516</v>
      </c>
      <c r="E9" s="62"/>
      <c r="F9" s="62">
        <v>0.14620843757652516</v>
      </c>
      <c r="G9" s="62"/>
      <c r="H9" s="62">
        <v>0.14620843757652513</v>
      </c>
      <c r="I9" s="62"/>
      <c r="J9" s="61">
        <v>0.14620843757652516</v>
      </c>
    </row>
    <row r="10" spans="2:10">
      <c r="B10" s="254"/>
      <c r="C10" s="48"/>
      <c r="D10" s="62"/>
      <c r="E10" s="62"/>
      <c r="F10" s="62"/>
      <c r="G10" s="62"/>
      <c r="H10" s="62"/>
      <c r="I10" s="62"/>
      <c r="J10" s="61"/>
    </row>
    <row r="11" spans="2:10">
      <c r="B11" s="254"/>
      <c r="C11" s="48">
        <v>0.25</v>
      </c>
      <c r="D11" s="62">
        <v>0.20556455360877515</v>
      </c>
      <c r="E11" s="62"/>
      <c r="F11" s="62">
        <v>0.20556455360877515</v>
      </c>
      <c r="G11" s="62"/>
      <c r="H11" s="62">
        <v>0.20556455360877515</v>
      </c>
      <c r="I11" s="62"/>
      <c r="J11" s="61">
        <v>0.20556455360877515</v>
      </c>
    </row>
    <row r="12" spans="2:10">
      <c r="B12" s="254"/>
      <c r="C12" s="48"/>
      <c r="D12" s="62"/>
      <c r="E12" s="62"/>
      <c r="F12" s="62"/>
      <c r="G12" s="62"/>
      <c r="H12" s="62"/>
      <c r="I12" s="62"/>
      <c r="J12" s="61"/>
    </row>
    <row r="13" spans="2:10">
      <c r="B13" s="254"/>
      <c r="C13" s="49">
        <v>0.3</v>
      </c>
      <c r="D13" s="62">
        <v>0.27242180595252524</v>
      </c>
      <c r="E13" s="62"/>
      <c r="F13" s="62">
        <v>0.27242180595252524</v>
      </c>
      <c r="G13" s="62"/>
      <c r="H13" s="62">
        <v>0.27242180595252524</v>
      </c>
      <c r="I13" s="62"/>
      <c r="J13" s="61">
        <v>0.27242180595252524</v>
      </c>
    </row>
    <row r="14" spans="2:10" ht="15.75" thickBot="1">
      <c r="B14" s="255"/>
      <c r="C14" s="46"/>
      <c r="D14" s="58"/>
      <c r="E14" s="58"/>
      <c r="F14" s="58"/>
      <c r="G14" s="58"/>
      <c r="H14" s="58"/>
      <c r="I14" s="58"/>
      <c r="J14" s="59"/>
    </row>
    <row r="15" spans="2:10" s="35" customFormat="1" ht="15.75" thickBot="1"/>
    <row r="16" spans="2:10">
      <c r="B16" s="256" t="s">
        <v>34</v>
      </c>
      <c r="C16" s="257"/>
      <c r="D16" s="257"/>
      <c r="E16" s="257"/>
      <c r="F16" s="257"/>
      <c r="G16" s="257"/>
      <c r="H16" s="257"/>
      <c r="I16" s="257"/>
      <c r="J16" s="258"/>
    </row>
    <row r="17" spans="2:10">
      <c r="B17" s="51"/>
      <c r="C17" s="45"/>
      <c r="D17" s="251" t="s">
        <v>32</v>
      </c>
      <c r="E17" s="252"/>
      <c r="F17" s="252"/>
      <c r="G17" s="252"/>
      <c r="H17" s="252"/>
      <c r="I17" s="252"/>
      <c r="J17" s="253"/>
    </row>
    <row r="18" spans="2:10">
      <c r="B18" s="1"/>
      <c r="C18" s="50"/>
      <c r="D18" s="52">
        <v>0.5</v>
      </c>
      <c r="E18" s="52"/>
      <c r="F18" s="52">
        <v>1</v>
      </c>
      <c r="G18" s="52"/>
      <c r="H18" s="52">
        <v>1.5</v>
      </c>
      <c r="I18" s="52"/>
      <c r="J18" s="53">
        <v>2</v>
      </c>
    </row>
    <row r="19" spans="2:10">
      <c r="B19" s="254" t="s">
        <v>38</v>
      </c>
      <c r="C19" s="47"/>
      <c r="D19" s="54"/>
      <c r="E19" s="54"/>
      <c r="F19" s="54"/>
      <c r="G19" s="54"/>
      <c r="H19" s="54"/>
      <c r="I19" s="54"/>
      <c r="J19" s="55"/>
    </row>
    <row r="20" spans="2:10">
      <c r="B20" s="254"/>
      <c r="C20" s="47">
        <v>0.15</v>
      </c>
      <c r="D20" s="63">
        <v>46263.855116387502</v>
      </c>
      <c r="E20" s="56"/>
      <c r="F20" s="63">
        <v>92527.710232775004</v>
      </c>
      <c r="G20" s="56"/>
      <c r="H20" s="63">
        <v>138791.56534916241</v>
      </c>
      <c r="I20" s="56"/>
      <c r="J20" s="60">
        <v>185055.42046555001</v>
      </c>
    </row>
    <row r="21" spans="2:10">
      <c r="B21" s="254"/>
      <c r="C21" s="48"/>
      <c r="D21" s="56"/>
      <c r="E21" s="56"/>
      <c r="F21" s="56"/>
      <c r="G21" s="56"/>
      <c r="H21" s="56"/>
      <c r="I21" s="56"/>
      <c r="J21" s="57"/>
    </row>
    <row r="22" spans="2:10">
      <c r="B22" s="254"/>
      <c r="C22" s="48">
        <v>0.2</v>
      </c>
      <c r="D22" s="63">
        <v>73104.218788262573</v>
      </c>
      <c r="E22" s="56"/>
      <c r="F22" s="63">
        <v>146208.43757652515</v>
      </c>
      <c r="G22" s="56"/>
      <c r="H22" s="63">
        <v>219312.65636478769</v>
      </c>
      <c r="I22" s="56"/>
      <c r="J22" s="60">
        <v>292416.87515305029</v>
      </c>
    </row>
    <row r="23" spans="2:10">
      <c r="B23" s="254"/>
      <c r="C23" s="48"/>
      <c r="D23" s="56"/>
      <c r="E23" s="56"/>
      <c r="F23" s="56"/>
      <c r="G23" s="56"/>
      <c r="H23" s="56"/>
      <c r="I23" s="56"/>
      <c r="J23" s="57"/>
    </row>
    <row r="24" spans="2:10">
      <c r="B24" s="254"/>
      <c r="C24" s="48">
        <v>0.25</v>
      </c>
      <c r="D24" s="63">
        <v>102782.27680438757</v>
      </c>
      <c r="E24" s="56"/>
      <c r="F24" s="63">
        <v>205564.55360877514</v>
      </c>
      <c r="G24" s="56"/>
      <c r="H24" s="63">
        <v>308346.83041316271</v>
      </c>
      <c r="I24" s="56"/>
      <c r="J24" s="60">
        <v>411129.10721755028</v>
      </c>
    </row>
    <row r="25" spans="2:10">
      <c r="B25" s="254"/>
      <c r="C25" s="48"/>
      <c r="D25" s="56"/>
      <c r="E25" s="56"/>
      <c r="F25" s="56"/>
      <c r="G25" s="56"/>
      <c r="H25" s="56"/>
      <c r="I25" s="56"/>
      <c r="J25" s="57"/>
    </row>
    <row r="26" spans="2:10">
      <c r="B26" s="254"/>
      <c r="C26" s="49">
        <v>0.3</v>
      </c>
      <c r="D26" s="63">
        <v>136210.90297626262</v>
      </c>
      <c r="E26" s="56"/>
      <c r="F26" s="63">
        <v>272421.80595252523</v>
      </c>
      <c r="G26" s="56"/>
      <c r="H26" s="63">
        <v>408632.70892878785</v>
      </c>
      <c r="I26" s="56"/>
      <c r="J26" s="60">
        <v>544843.61190505046</v>
      </c>
    </row>
    <row r="27" spans="2:10" ht="15.75" thickBot="1">
      <c r="B27" s="255"/>
      <c r="C27" s="46"/>
      <c r="D27" s="58"/>
      <c r="E27" s="58"/>
      <c r="F27" s="58"/>
      <c r="G27" s="58"/>
      <c r="H27" s="58"/>
      <c r="I27" s="58"/>
      <c r="J27" s="59"/>
    </row>
    <row r="28" spans="2:10" s="35" customFormat="1"/>
    <row r="29" spans="2:10" s="35" customFormat="1"/>
    <row r="30" spans="2:10" s="35" customFormat="1"/>
    <row r="31" spans="2:10" s="35" customFormat="1"/>
    <row r="32" spans="2:10" s="35" customFormat="1"/>
    <row r="33" s="35" customFormat="1"/>
    <row r="34" s="35" customFormat="1"/>
    <row r="35" s="35" customFormat="1"/>
    <row r="36" s="35" customFormat="1"/>
    <row r="37" s="35" customFormat="1"/>
    <row r="38" s="35" customFormat="1"/>
    <row r="39" s="35" customFormat="1"/>
    <row r="40" s="35" customFormat="1"/>
    <row r="41" s="35" customFormat="1"/>
    <row r="42" s="35" customFormat="1"/>
    <row r="43" s="35" customFormat="1"/>
    <row r="44" s="35" customFormat="1"/>
    <row r="45" s="35" customFormat="1"/>
    <row r="46" s="35" customFormat="1"/>
    <row r="47" s="35" customFormat="1"/>
    <row r="48" s="35" customFormat="1"/>
    <row r="49" s="35" customFormat="1"/>
    <row r="50" s="35" customFormat="1"/>
    <row r="51" s="35" customFormat="1"/>
    <row r="52" s="35" customFormat="1"/>
    <row r="53" s="35" customFormat="1"/>
    <row r="54" s="35" customFormat="1"/>
    <row r="55" s="35" customFormat="1"/>
    <row r="56" s="35" customFormat="1"/>
    <row r="57" s="35" customFormat="1"/>
  </sheetData>
  <mergeCells count="6">
    <mergeCell ref="D17:J17"/>
    <mergeCell ref="B19:B27"/>
    <mergeCell ref="B6:B14"/>
    <mergeCell ref="D4:J4"/>
    <mergeCell ref="B3:J3"/>
    <mergeCell ref="B16:J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Sources &amp; Uses Specified Offeri</vt:lpstr>
      <vt:lpstr>Fund of Funds Model </vt:lpstr>
      <vt:lpstr>Fund of Funds 2x2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Lyons</dc:creator>
  <cp:lastModifiedBy>A.J. Peak</cp:lastModifiedBy>
  <dcterms:created xsi:type="dcterms:W3CDTF">2023-02-18T14:17:11Z</dcterms:created>
  <dcterms:modified xsi:type="dcterms:W3CDTF">2026-05-04T22:22:27Z</dcterms:modified>
</cp:coreProperties>
</file>